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drawings/drawing7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13_ncr:1_{F632D21B-8008-4ABB-A0DA-1932BDA1E788}" xr6:coauthVersionLast="47" xr6:coauthVersionMax="47" xr10:uidLastSave="{00000000-0000-0000-0000-000000000000}"/>
  <bookViews>
    <workbookView xWindow="-110" yWindow="-110" windowWidth="19420" windowHeight="10300" firstSheet="7" activeTab="11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 Basal Comparada" sheetId="17" state="hidden" r:id="rId9"/>
    <sheet name="Área - Produt - Servente" sheetId="9" r:id="rId10"/>
    <sheet name="Servente COM Adicional" sheetId="6" r:id="rId11"/>
    <sheet name="Servente SEM Adicional" sheetId="7" r:id="rId12"/>
    <sheet name="Limpador Vidro COM Risco" sheetId="8" state="hidden" r:id="rId13"/>
    <sheet name="Preço Homem-Mês-m2" sheetId="11" r:id="rId14"/>
    <sheet name="Preço Mensal por Área" sheetId="12" r:id="rId15"/>
    <sheet name="Preço Final - Quadro Resumo" sheetId="13" r:id="rId16"/>
    <sheet name="Planilha1" sheetId="16" state="hidden" r:id="rId17"/>
  </sheet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5" l="1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E64" i="5"/>
  <c r="E63" i="5"/>
  <c r="E62" i="5"/>
  <c r="H115" i="7"/>
  <c r="G115" i="7"/>
  <c r="I117" i="6"/>
  <c r="H117" i="6"/>
  <c r="G117" i="6"/>
  <c r="A2" i="4"/>
  <c r="G23" i="4"/>
  <c r="G22" i="4"/>
  <c r="G21" i="4"/>
  <c r="G20" i="4"/>
  <c r="G19" i="4"/>
  <c r="D18" i="4"/>
  <c r="G18" i="4" s="1"/>
  <c r="G17" i="4"/>
  <c r="G16" i="4"/>
  <c r="D16" i="4"/>
  <c r="G15" i="4"/>
  <c r="G14" i="4"/>
  <c r="G13" i="4"/>
  <c r="G25" i="4" l="1"/>
  <c r="G26" i="4" s="1"/>
  <c r="G20" i="18" l="1"/>
  <c r="G19" i="18"/>
  <c r="G18" i="18"/>
  <c r="G17" i="18"/>
  <c r="G16" i="18"/>
  <c r="G15" i="18"/>
  <c r="G14" i="18"/>
  <c r="G13" i="18"/>
  <c r="G12" i="18"/>
  <c r="G11" i="18"/>
  <c r="G24" i="18"/>
  <c r="G22" i="18" l="1"/>
  <c r="G26" i="18" s="1"/>
  <c r="H117" i="7" l="1"/>
  <c r="H119" i="6"/>
  <c r="G119" i="6"/>
  <c r="G117" i="7"/>
  <c r="I119" i="6"/>
  <c r="G4" i="18"/>
  <c r="H35" i="13" l="1"/>
  <c r="H34" i="13"/>
  <c r="H33" i="13"/>
  <c r="E33" i="13"/>
  <c r="E34" i="13"/>
  <c r="E35" i="13"/>
  <c r="D33" i="13"/>
  <c r="F32" i="14" l="1"/>
  <c r="J28" i="14"/>
  <c r="I28" i="14"/>
  <c r="H28" i="14"/>
  <c r="J4" i="2"/>
  <c r="H34" i="14" l="1"/>
  <c r="I33" i="13" s="1"/>
  <c r="J34" i="14"/>
  <c r="I35" i="13" s="1"/>
  <c r="I34" i="14"/>
  <c r="I34" i="13" s="1"/>
  <c r="H12" i="13"/>
  <c r="E19" i="7"/>
  <c r="D85" i="7" s="1"/>
  <c r="E19" i="6"/>
  <c r="D93" i="6" s="1"/>
  <c r="D89" i="7" l="1"/>
  <c r="D75" i="7"/>
  <c r="D91" i="7"/>
  <c r="D93" i="7"/>
  <c r="D77" i="7"/>
  <c r="D79" i="7"/>
  <c r="D95" i="7"/>
  <c r="D87" i="7"/>
  <c r="D81" i="7"/>
  <c r="D97" i="7"/>
  <c r="D83" i="7"/>
  <c r="D79" i="6"/>
  <c r="D99" i="6"/>
  <c r="D85" i="6"/>
  <c r="D89" i="6"/>
  <c r="D95" i="6"/>
  <c r="D97" i="6"/>
  <c r="D87" i="6"/>
  <c r="D91" i="6"/>
  <c r="D81" i="6"/>
  <c r="D83" i="6"/>
  <c r="D77" i="6"/>
  <c r="E4" i="13"/>
  <c r="L4" i="17"/>
  <c r="I4" i="14"/>
  <c r="J4" i="1"/>
  <c r="G79" i="9"/>
  <c r="G11" i="5" l="1"/>
  <c r="G90" i="9" l="1"/>
  <c r="G88" i="9"/>
  <c r="G86" i="9"/>
  <c r="G85" i="9"/>
  <c r="G84" i="9"/>
  <c r="G83" i="9"/>
  <c r="G77" i="9"/>
  <c r="G76" i="9"/>
  <c r="G74" i="9"/>
  <c r="G73" i="9"/>
  <c r="G72" i="9"/>
  <c r="G70" i="9"/>
  <c r="G69" i="9"/>
  <c r="G68" i="9"/>
  <c r="G61" i="9"/>
  <c r="G59" i="9"/>
  <c r="G57" i="9"/>
  <c r="G56" i="9"/>
  <c r="G50" i="9"/>
  <c r="G49" i="9"/>
  <c r="G47" i="9"/>
  <c r="G46" i="9"/>
  <c r="G45" i="9"/>
  <c r="G44" i="9"/>
  <c r="S37" i="9"/>
  <c r="S36" i="9"/>
  <c r="S34" i="9"/>
  <c r="S33" i="9"/>
  <c r="S32" i="9"/>
  <c r="S30" i="9"/>
  <c r="S29" i="9"/>
  <c r="S28" i="9"/>
  <c r="S27" i="9"/>
  <c r="O37" i="9"/>
  <c r="O36" i="9"/>
  <c r="O34" i="9"/>
  <c r="O33" i="9"/>
  <c r="O32" i="9"/>
  <c r="O30" i="9"/>
  <c r="O29" i="9"/>
  <c r="O28" i="9"/>
  <c r="O27" i="9"/>
  <c r="K37" i="9"/>
  <c r="K36" i="9"/>
  <c r="K34" i="9"/>
  <c r="K33" i="9"/>
  <c r="K32" i="9"/>
  <c r="K30" i="9"/>
  <c r="K29" i="9"/>
  <c r="K28" i="9"/>
  <c r="K27" i="9"/>
  <c r="G37" i="9"/>
  <c r="G36" i="9"/>
  <c r="G34" i="9"/>
  <c r="G33" i="9"/>
  <c r="G32" i="9"/>
  <c r="G30" i="9"/>
  <c r="G29" i="9"/>
  <c r="G28" i="9"/>
  <c r="S20" i="9"/>
  <c r="S19" i="9"/>
  <c r="S17" i="9"/>
  <c r="S16" i="9"/>
  <c r="S15" i="9"/>
  <c r="S13" i="9"/>
  <c r="S12" i="9"/>
  <c r="O20" i="9"/>
  <c r="O19" i="9"/>
  <c r="O17" i="9"/>
  <c r="O16" i="9"/>
  <c r="O15" i="9"/>
  <c r="O13" i="9"/>
  <c r="O12" i="9"/>
  <c r="O11" i="9"/>
  <c r="K17" i="9"/>
  <c r="K16" i="9"/>
  <c r="K15" i="9"/>
  <c r="K13" i="9"/>
  <c r="K12" i="9"/>
  <c r="K11" i="9"/>
  <c r="O21" i="9" l="1"/>
  <c r="S38" i="9"/>
  <c r="O38" i="9"/>
  <c r="K38" i="9"/>
  <c r="K20" i="9" l="1"/>
  <c r="K19" i="9"/>
  <c r="G17" i="9"/>
  <c r="G16" i="9"/>
  <c r="G15" i="9"/>
  <c r="G13" i="9"/>
  <c r="G12" i="9"/>
  <c r="G11" i="9"/>
  <c r="J15" i="14"/>
  <c r="I15" i="14"/>
  <c r="I20" i="14" l="1"/>
  <c r="I19" i="14"/>
  <c r="I18" i="14"/>
  <c r="J19" i="14"/>
  <c r="J18" i="14"/>
  <c r="J20" i="14"/>
  <c r="H15" i="14"/>
  <c r="D35" i="13"/>
  <c r="D34" i="13"/>
  <c r="H20" i="14" l="1"/>
  <c r="H19" i="14"/>
  <c r="H18" i="14"/>
  <c r="A2" i="13"/>
  <c r="B8" i="13"/>
  <c r="E97" i="7" l="1"/>
  <c r="F95" i="7"/>
  <c r="E93" i="7"/>
  <c r="E91" i="7"/>
  <c r="F89" i="7"/>
  <c r="F87" i="7"/>
  <c r="F85" i="7"/>
  <c r="E83" i="7"/>
  <c r="F81" i="7"/>
  <c r="E79" i="7"/>
  <c r="E77" i="7"/>
  <c r="F75" i="7"/>
  <c r="G75" i="5" l="1"/>
  <c r="F83" i="7"/>
  <c r="F93" i="7"/>
  <c r="F77" i="7"/>
  <c r="F79" i="7"/>
  <c r="F91" i="7"/>
  <c r="E99" i="6" l="1"/>
  <c r="F77" i="6"/>
  <c r="H16" i="6"/>
  <c r="H26" i="6" s="1"/>
  <c r="H15" i="6"/>
  <c r="G15" i="6"/>
  <c r="H13" i="6"/>
  <c r="G13" i="6"/>
  <c r="I12" i="6"/>
  <c r="H12" i="6"/>
  <c r="G12" i="6"/>
  <c r="H11" i="6"/>
  <c r="I13" i="6"/>
  <c r="G27" i="9"/>
  <c r="Q11" i="9"/>
  <c r="S11" i="9" s="1"/>
  <c r="S21" i="9" s="1"/>
  <c r="A2" i="1"/>
  <c r="A2" i="18" s="1"/>
  <c r="A2" i="3"/>
  <c r="J10" i="15"/>
  <c r="C19" i="15" s="1"/>
  <c r="J9" i="15"/>
  <c r="C18" i="15" s="1"/>
  <c r="D18" i="15" s="1"/>
  <c r="J8" i="15"/>
  <c r="C17" i="15" s="1"/>
  <c r="J7" i="15"/>
  <c r="C16" i="15" s="1"/>
  <c r="J6" i="15"/>
  <c r="C15" i="15" s="1"/>
  <c r="F15" i="15" s="1"/>
  <c r="J5" i="15"/>
  <c r="C14" i="15" s="1"/>
  <c r="J4" i="15"/>
  <c r="C13" i="15" s="1"/>
  <c r="G10" i="15"/>
  <c r="F10" i="15"/>
  <c r="E10" i="15"/>
  <c r="D10" i="15"/>
  <c r="H9" i="15"/>
  <c r="G9" i="15"/>
  <c r="F9" i="15"/>
  <c r="E9" i="15"/>
  <c r="D9" i="15"/>
  <c r="H8" i="15"/>
  <c r="G8" i="15"/>
  <c r="F8" i="15"/>
  <c r="E8" i="15"/>
  <c r="D8" i="15"/>
  <c r="L8" i="15" s="1"/>
  <c r="H7" i="15"/>
  <c r="G7" i="15"/>
  <c r="F7" i="15"/>
  <c r="E7" i="15"/>
  <c r="D7" i="15"/>
  <c r="H6" i="15"/>
  <c r="G6" i="15"/>
  <c r="F6" i="15"/>
  <c r="E6" i="15"/>
  <c r="D6" i="15"/>
  <c r="L6" i="15" s="1"/>
  <c r="H5" i="15"/>
  <c r="G5" i="15"/>
  <c r="F5" i="15"/>
  <c r="E5" i="15"/>
  <c r="L5" i="15" s="1"/>
  <c r="D5" i="15"/>
  <c r="H4" i="15"/>
  <c r="G4" i="15"/>
  <c r="F4" i="15"/>
  <c r="E4" i="15"/>
  <c r="D4" i="15"/>
  <c r="L7" i="15" l="1"/>
  <c r="F99" i="6"/>
  <c r="L9" i="15"/>
  <c r="L4" i="15"/>
  <c r="L10" i="15"/>
  <c r="F17" i="15"/>
  <c r="E17" i="15"/>
  <c r="H17" i="15"/>
  <c r="D17" i="15"/>
  <c r="G17" i="15"/>
  <c r="H16" i="15"/>
  <c r="F16" i="15"/>
  <c r="D16" i="15"/>
  <c r="G16" i="15"/>
  <c r="E16" i="15"/>
  <c r="G19" i="15"/>
  <c r="F19" i="15"/>
  <c r="E19" i="15"/>
  <c r="D19" i="15"/>
  <c r="H13" i="15"/>
  <c r="F13" i="15"/>
  <c r="K28" i="1" s="1"/>
  <c r="E13" i="15"/>
  <c r="D13" i="15"/>
  <c r="G13" i="15"/>
  <c r="D14" i="15"/>
  <c r="H14" i="15"/>
  <c r="G14" i="15"/>
  <c r="F14" i="15"/>
  <c r="E14" i="15"/>
  <c r="G15" i="15"/>
  <c r="K27" i="1" s="1"/>
  <c r="E18" i="15"/>
  <c r="H15" i="15"/>
  <c r="K31" i="1" s="1"/>
  <c r="F21" i="14" s="1"/>
  <c r="F18" i="15"/>
  <c r="D15" i="15"/>
  <c r="E15" i="15"/>
  <c r="G18" i="15"/>
  <c r="J21" i="14" l="1"/>
  <c r="I21" i="14"/>
  <c r="H21" i="14"/>
  <c r="J23" i="14"/>
  <c r="I23" i="14"/>
  <c r="I22" i="14"/>
  <c r="J22" i="14"/>
  <c r="H22" i="14"/>
  <c r="H23" i="14"/>
  <c r="H98" i="17"/>
  <c r="H96" i="17"/>
  <c r="H94" i="17"/>
  <c r="H93" i="17"/>
  <c r="H92" i="17"/>
  <c r="H91" i="17"/>
  <c r="G98" i="17"/>
  <c r="G93" i="17"/>
  <c r="G92" i="17"/>
  <c r="D98" i="17"/>
  <c r="D96" i="17"/>
  <c r="G96" i="17" s="1"/>
  <c r="D94" i="17"/>
  <c r="G94" i="17" s="1"/>
  <c r="D93" i="17"/>
  <c r="D92" i="17"/>
  <c r="D91" i="17"/>
  <c r="G91" i="17" s="1"/>
  <c r="H83" i="17"/>
  <c r="G83" i="17"/>
  <c r="H82" i="17"/>
  <c r="G82" i="17"/>
  <c r="D83" i="17"/>
  <c r="D82" i="17"/>
  <c r="D80" i="17"/>
  <c r="D79" i="17"/>
  <c r="D78" i="17"/>
  <c r="D76" i="17"/>
  <c r="G76" i="17" s="1"/>
  <c r="D75" i="17"/>
  <c r="G75" i="17" s="1"/>
  <c r="D74" i="17"/>
  <c r="G74" i="17" s="1"/>
  <c r="H76" i="17"/>
  <c r="H75" i="17"/>
  <c r="H74" i="17"/>
  <c r="T39" i="17"/>
  <c r="T38" i="17"/>
  <c r="T36" i="17"/>
  <c r="T35" i="17"/>
  <c r="T34" i="17"/>
  <c r="T32" i="17"/>
  <c r="T31" i="17"/>
  <c r="T30" i="17"/>
  <c r="T29" i="17"/>
  <c r="T21" i="17"/>
  <c r="T20" i="17"/>
  <c r="T18" i="17"/>
  <c r="T17" i="17"/>
  <c r="T16" i="17"/>
  <c r="T14" i="17"/>
  <c r="T13" i="17"/>
  <c r="T12" i="17"/>
  <c r="P39" i="17"/>
  <c r="P38" i="17"/>
  <c r="P36" i="17"/>
  <c r="P35" i="17"/>
  <c r="P34" i="17"/>
  <c r="P32" i="17"/>
  <c r="P31" i="17"/>
  <c r="P30" i="17"/>
  <c r="P29" i="17"/>
  <c r="P21" i="17"/>
  <c r="P20" i="17"/>
  <c r="P18" i="17"/>
  <c r="P17" i="17"/>
  <c r="P16" i="17"/>
  <c r="P14" i="17"/>
  <c r="P13" i="17"/>
  <c r="P12" i="17"/>
  <c r="L39" i="17"/>
  <c r="L38" i="17"/>
  <c r="L36" i="17"/>
  <c r="L35" i="17"/>
  <c r="L34" i="17"/>
  <c r="L32" i="17"/>
  <c r="L31" i="17"/>
  <c r="L30" i="17"/>
  <c r="L29" i="17"/>
  <c r="L21" i="17"/>
  <c r="L20" i="17"/>
  <c r="L18" i="17"/>
  <c r="L17" i="17"/>
  <c r="L16" i="17"/>
  <c r="L14" i="17"/>
  <c r="L13" i="17"/>
  <c r="L12" i="17"/>
  <c r="J26" i="14" l="1"/>
  <c r="J30" i="14" s="1"/>
  <c r="F35" i="13" s="1"/>
  <c r="H26" i="14"/>
  <c r="I26" i="14"/>
  <c r="G100" i="17"/>
  <c r="H99" i="17"/>
  <c r="H100" i="17" s="1"/>
  <c r="H80" i="17"/>
  <c r="H79" i="17"/>
  <c r="H78" i="17"/>
  <c r="H84" i="17" s="1"/>
  <c r="H85" i="17" s="1"/>
  <c r="H64" i="17"/>
  <c r="H62" i="17"/>
  <c r="H61" i="17"/>
  <c r="H52" i="17"/>
  <c r="H53" i="17"/>
  <c r="H50" i="17"/>
  <c r="H49" i="17"/>
  <c r="H48" i="17"/>
  <c r="H47" i="17"/>
  <c r="H36" i="17"/>
  <c r="H35" i="17"/>
  <c r="H34" i="17"/>
  <c r="H32" i="17"/>
  <c r="H31" i="17"/>
  <c r="H30" i="17"/>
  <c r="H29" i="17"/>
  <c r="H66" i="17"/>
  <c r="H39" i="17"/>
  <c r="H38" i="17"/>
  <c r="H21" i="17"/>
  <c r="H18" i="17"/>
  <c r="H17" i="17"/>
  <c r="H16" i="17"/>
  <c r="H14" i="17"/>
  <c r="H13" i="17"/>
  <c r="H12" i="17"/>
  <c r="G80" i="17"/>
  <c r="G79" i="17"/>
  <c r="G78" i="17"/>
  <c r="G85" i="17" s="1"/>
  <c r="G62" i="17"/>
  <c r="G50" i="17"/>
  <c r="D64" i="17"/>
  <c r="G64" i="17" s="1"/>
  <c r="D66" i="17"/>
  <c r="G66" i="17" s="1"/>
  <c r="D62" i="17"/>
  <c r="D61" i="17"/>
  <c r="G61" i="17" s="1"/>
  <c r="G68" i="17" s="1"/>
  <c r="D53" i="17"/>
  <c r="G53" i="17" s="1"/>
  <c r="D52" i="17"/>
  <c r="G52" i="17" s="1"/>
  <c r="D50" i="17"/>
  <c r="D49" i="17"/>
  <c r="G49" i="17" s="1"/>
  <c r="D48" i="17"/>
  <c r="G48" i="17" s="1"/>
  <c r="D47" i="17"/>
  <c r="G47" i="17" s="1"/>
  <c r="H36" i="14" l="1"/>
  <c r="J33" i="13" s="1"/>
  <c r="G33" i="13"/>
  <c r="I36" i="14"/>
  <c r="J34" i="13" s="1"/>
  <c r="G34" i="13"/>
  <c r="J36" i="14"/>
  <c r="J35" i="13" s="1"/>
  <c r="G35" i="13"/>
  <c r="I30" i="14"/>
  <c r="F34" i="13" s="1"/>
  <c r="H30" i="14"/>
  <c r="F33" i="13" s="1"/>
  <c r="G55" i="17"/>
  <c r="H54" i="17"/>
  <c r="H67" i="17"/>
  <c r="H68" i="17" s="1"/>
  <c r="D31" i="17"/>
  <c r="J36" i="13" l="1"/>
  <c r="S31" i="17"/>
  <c r="O31" i="17"/>
  <c r="K31" i="17"/>
  <c r="G31" i="17"/>
  <c r="D39" i="17"/>
  <c r="D38" i="17"/>
  <c r="D36" i="17"/>
  <c r="D35" i="17"/>
  <c r="D34" i="17"/>
  <c r="D32" i="17"/>
  <c r="D30" i="17"/>
  <c r="D29" i="17"/>
  <c r="S36" i="17" l="1"/>
  <c r="O36" i="17"/>
  <c r="K36" i="17"/>
  <c r="G36" i="17"/>
  <c r="K35" i="17"/>
  <c r="S35" i="17"/>
  <c r="O35" i="17"/>
  <c r="G35" i="17"/>
  <c r="S38" i="17"/>
  <c r="O38" i="17"/>
  <c r="K38" i="17"/>
  <c r="G38" i="17"/>
  <c r="O29" i="17"/>
  <c r="K29" i="17"/>
  <c r="S29" i="17"/>
  <c r="G29" i="17"/>
  <c r="S32" i="17"/>
  <c r="O32" i="17"/>
  <c r="K32" i="17"/>
  <c r="G32" i="17"/>
  <c r="O39" i="17"/>
  <c r="K39" i="17"/>
  <c r="S39" i="17"/>
  <c r="G39" i="17"/>
  <c r="K30" i="17"/>
  <c r="S30" i="17"/>
  <c r="O30" i="17"/>
  <c r="G30" i="17"/>
  <c r="O34" i="17"/>
  <c r="K34" i="17"/>
  <c r="S34" i="17"/>
  <c r="G34" i="17"/>
  <c r="P40" i="17"/>
  <c r="P41" i="17" s="1"/>
  <c r="H55" i="17"/>
  <c r="T40" i="17"/>
  <c r="T41" i="17" s="1"/>
  <c r="L40" i="17"/>
  <c r="L41" i="17" s="1"/>
  <c r="H40" i="17"/>
  <c r="H41" i="17" s="1"/>
  <c r="D21" i="17"/>
  <c r="H20" i="17"/>
  <c r="D20" i="17"/>
  <c r="D18" i="17"/>
  <c r="D17" i="17"/>
  <c r="D16" i="17"/>
  <c r="D14" i="17"/>
  <c r="D13" i="17"/>
  <c r="D12" i="17"/>
  <c r="S20" i="17" l="1"/>
  <c r="O20" i="17"/>
  <c r="K20" i="17"/>
  <c r="O12" i="17"/>
  <c r="K12" i="17"/>
  <c r="S12" i="17"/>
  <c r="G12" i="17"/>
  <c r="S21" i="17"/>
  <c r="O21" i="17"/>
  <c r="K21" i="17"/>
  <c r="O17" i="17"/>
  <c r="K17" i="17"/>
  <c r="S17" i="17"/>
  <c r="G17" i="17"/>
  <c r="K13" i="17"/>
  <c r="S13" i="17"/>
  <c r="O13" i="17"/>
  <c r="G13" i="17"/>
  <c r="S14" i="17"/>
  <c r="O14" i="17"/>
  <c r="K14" i="17"/>
  <c r="G14" i="17"/>
  <c r="S16" i="17"/>
  <c r="O16" i="17"/>
  <c r="K16" i="17"/>
  <c r="G16" i="17"/>
  <c r="K18" i="17"/>
  <c r="S18" i="17"/>
  <c r="O18" i="17"/>
  <c r="G18" i="17"/>
  <c r="O41" i="17"/>
  <c r="G41" i="17"/>
  <c r="K41" i="17"/>
  <c r="S41" i="17"/>
  <c r="G21" i="17"/>
  <c r="T22" i="17"/>
  <c r="T23" i="17" s="1"/>
  <c r="P22" i="17"/>
  <c r="P23" i="17" s="1"/>
  <c r="L22" i="17"/>
  <c r="L23" i="17" s="1"/>
  <c r="H22" i="17"/>
  <c r="H23" i="17" s="1"/>
  <c r="G20" i="17"/>
  <c r="K23" i="17" l="1"/>
  <c r="O23" i="17"/>
  <c r="S23" i="17"/>
  <c r="G23" i="17"/>
  <c r="H56" i="6" l="1"/>
  <c r="H25" i="6" l="1"/>
  <c r="H55" i="6" s="1"/>
  <c r="G16" i="6"/>
  <c r="G11" i="6"/>
  <c r="G25" i="6" l="1"/>
  <c r="G55" i="6" s="1"/>
  <c r="G26" i="6"/>
  <c r="G4" i="5"/>
  <c r="A2" i="5"/>
  <c r="H110" i="6" l="1"/>
  <c r="H30" i="6"/>
  <c r="H48" i="6" l="1"/>
  <c r="H37" i="6"/>
  <c r="H47" i="6"/>
  <c r="H36" i="6"/>
  <c r="H49" i="6"/>
  <c r="H46" i="6"/>
  <c r="H70" i="6"/>
  <c r="H44" i="6"/>
  <c r="H45" i="6"/>
  <c r="H42" i="6"/>
  <c r="H138" i="6"/>
  <c r="H103" i="6"/>
  <c r="H43" i="6"/>
  <c r="H38" i="6" l="1"/>
  <c r="H50" i="6"/>
  <c r="H68" i="6"/>
  <c r="H65" i="6"/>
  <c r="H67" i="6" l="1"/>
  <c r="D51" i="11" l="1"/>
  <c r="P36" i="11" l="1"/>
  <c r="P35" i="11"/>
  <c r="P33" i="11"/>
  <c r="P32" i="11"/>
  <c r="P31" i="11"/>
  <c r="P29" i="11"/>
  <c r="P28" i="11"/>
  <c r="P27" i="11"/>
  <c r="P26" i="11"/>
  <c r="P22" i="11"/>
  <c r="P21" i="11"/>
  <c r="P19" i="11"/>
  <c r="P18" i="11"/>
  <c r="P17" i="11"/>
  <c r="P15" i="11"/>
  <c r="P14" i="11"/>
  <c r="P13" i="11"/>
  <c r="L36" i="11"/>
  <c r="L35" i="11"/>
  <c r="L33" i="11"/>
  <c r="L32" i="11"/>
  <c r="L31" i="11"/>
  <c r="L29" i="11"/>
  <c r="L28" i="11"/>
  <c r="L27" i="11"/>
  <c r="L26" i="11"/>
  <c r="L22" i="11"/>
  <c r="L21" i="11"/>
  <c r="L19" i="11"/>
  <c r="L18" i="11"/>
  <c r="L17" i="11"/>
  <c r="L15" i="11"/>
  <c r="L14" i="11"/>
  <c r="L13" i="11"/>
  <c r="H36" i="11"/>
  <c r="H35" i="11"/>
  <c r="H33" i="11"/>
  <c r="H32" i="11"/>
  <c r="H31" i="11"/>
  <c r="H29" i="11"/>
  <c r="H28" i="11"/>
  <c r="H27" i="11"/>
  <c r="H26" i="11"/>
  <c r="H22" i="11"/>
  <c r="H21" i="11"/>
  <c r="H19" i="11"/>
  <c r="H18" i="11"/>
  <c r="H17" i="11"/>
  <c r="H15" i="11"/>
  <c r="H14" i="11"/>
  <c r="H13" i="11"/>
  <c r="D81" i="11"/>
  <c r="D79" i="11"/>
  <c r="D77" i="11"/>
  <c r="D76" i="11"/>
  <c r="D75" i="11"/>
  <c r="D74" i="11"/>
  <c r="D70" i="11"/>
  <c r="D69" i="11"/>
  <c r="D67" i="11"/>
  <c r="D66" i="11"/>
  <c r="D65" i="11"/>
  <c r="D63" i="11"/>
  <c r="D62" i="11"/>
  <c r="D61" i="11"/>
  <c r="D56" i="11"/>
  <c r="D54" i="11"/>
  <c r="D52" i="11"/>
  <c r="D46" i="11"/>
  <c r="D45" i="11"/>
  <c r="D43" i="11"/>
  <c r="D42" i="11"/>
  <c r="D41" i="11"/>
  <c r="D40" i="11"/>
  <c r="D36" i="11"/>
  <c r="D35" i="11"/>
  <c r="D33" i="11"/>
  <c r="D32" i="11"/>
  <c r="D31" i="11"/>
  <c r="D29" i="11"/>
  <c r="D28" i="11"/>
  <c r="D27" i="11"/>
  <c r="D26" i="11"/>
  <c r="D22" i="11"/>
  <c r="D21" i="11"/>
  <c r="D19" i="11"/>
  <c r="D18" i="11"/>
  <c r="D17" i="11"/>
  <c r="D15" i="11"/>
  <c r="D14" i="11"/>
  <c r="D13" i="11"/>
  <c r="R21" i="12" l="1"/>
  <c r="R20" i="12"/>
  <c r="R19" i="12"/>
  <c r="R14" i="12"/>
  <c r="E106" i="12"/>
  <c r="E102" i="12"/>
  <c r="E98" i="12"/>
  <c r="E97" i="12"/>
  <c r="E96" i="12"/>
  <c r="E95" i="12"/>
  <c r="E90" i="12"/>
  <c r="E89" i="12"/>
  <c r="E85" i="12"/>
  <c r="E84" i="12"/>
  <c r="E83" i="12"/>
  <c r="E79" i="12"/>
  <c r="E78" i="12"/>
  <c r="E77" i="12"/>
  <c r="E72" i="12"/>
  <c r="E69" i="12"/>
  <c r="E65" i="12"/>
  <c r="E64" i="12"/>
  <c r="E59" i="12"/>
  <c r="E58" i="12"/>
  <c r="E54" i="12"/>
  <c r="E53" i="12"/>
  <c r="E52" i="12"/>
  <c r="E51" i="12"/>
  <c r="Q46" i="12"/>
  <c r="Q45" i="12"/>
  <c r="Q40" i="12"/>
  <c r="Q39" i="12"/>
  <c r="Q35" i="12"/>
  <c r="Q34" i="12"/>
  <c r="Q33" i="12"/>
  <c r="Q32" i="12"/>
  <c r="M46" i="12"/>
  <c r="M41" i="12"/>
  <c r="M40" i="12"/>
  <c r="M39" i="12"/>
  <c r="M35" i="12"/>
  <c r="M33" i="12"/>
  <c r="M32" i="12"/>
  <c r="I46" i="12"/>
  <c r="I45" i="12"/>
  <c r="I40" i="12"/>
  <c r="I39" i="12"/>
  <c r="I35" i="12"/>
  <c r="I33" i="12"/>
  <c r="I32" i="12"/>
  <c r="E46" i="12"/>
  <c r="E45" i="12"/>
  <c r="E40" i="12"/>
  <c r="E39" i="12"/>
  <c r="E35" i="12"/>
  <c r="E34" i="12"/>
  <c r="E32" i="12"/>
  <c r="Q26" i="12"/>
  <c r="Q25" i="12"/>
  <c r="Q15" i="12"/>
  <c r="Q13" i="12"/>
  <c r="M26" i="12"/>
  <c r="M25" i="12"/>
  <c r="M21" i="12"/>
  <c r="M20" i="12"/>
  <c r="M19" i="12"/>
  <c r="M15" i="12"/>
  <c r="M14" i="12"/>
  <c r="M13" i="12"/>
  <c r="I26" i="12"/>
  <c r="I25" i="12"/>
  <c r="I19" i="12"/>
  <c r="I15" i="12"/>
  <c r="I13" i="12"/>
  <c r="E26" i="12"/>
  <c r="E25" i="12"/>
  <c r="E20" i="12"/>
  <c r="E19" i="12"/>
  <c r="E15" i="12"/>
  <c r="E13" i="12"/>
  <c r="F14" i="12" l="1"/>
  <c r="R22" i="12"/>
  <c r="R41" i="12"/>
  <c r="N45" i="12"/>
  <c r="N34" i="12"/>
  <c r="J34" i="12"/>
  <c r="J41" i="12"/>
  <c r="F41" i="12"/>
  <c r="F33" i="12"/>
  <c r="J21" i="12"/>
  <c r="J20" i="12"/>
  <c r="J14" i="12"/>
  <c r="F21" i="12"/>
  <c r="I4" i="12" l="1"/>
  <c r="G16" i="8" l="1"/>
  <c r="G23" i="8" s="1"/>
  <c r="G24" i="8" s="1"/>
  <c r="G15" i="8"/>
  <c r="G13" i="8"/>
  <c r="G12" i="8"/>
  <c r="G11" i="8"/>
  <c r="G105" i="8"/>
  <c r="F94" i="8"/>
  <c r="E92" i="8"/>
  <c r="F92" i="8" s="1"/>
  <c r="E90" i="8"/>
  <c r="F90" i="8" s="1"/>
  <c r="F88" i="8"/>
  <c r="F86" i="8"/>
  <c r="F84" i="8"/>
  <c r="E82" i="8"/>
  <c r="F82" i="8" s="1"/>
  <c r="F80" i="8"/>
  <c r="E78" i="8"/>
  <c r="F78" i="8" s="1"/>
  <c r="E76" i="8"/>
  <c r="F76" i="8" s="1"/>
  <c r="F74" i="8"/>
  <c r="G53" i="8"/>
  <c r="F47" i="8"/>
  <c r="F35" i="8"/>
  <c r="G4" i="8"/>
  <c r="G52" i="8" l="1"/>
  <c r="G27" i="8"/>
  <c r="G98" i="8" s="1"/>
  <c r="E99" i="8"/>
  <c r="G33" i="8" l="1"/>
  <c r="G39" i="8"/>
  <c r="G43" i="8"/>
  <c r="G46" i="8"/>
  <c r="G42" i="8"/>
  <c r="G45" i="8"/>
  <c r="G67" i="8"/>
  <c r="G41" i="8"/>
  <c r="G40" i="8"/>
  <c r="G132" i="8"/>
  <c r="G44" i="8"/>
  <c r="G34" i="8"/>
  <c r="G99" i="8"/>
  <c r="G47" i="8"/>
  <c r="G62" i="8"/>
  <c r="G65" i="8" l="1"/>
  <c r="G66" i="8" s="1"/>
  <c r="G35" i="8"/>
  <c r="G64" i="8"/>
  <c r="G68" i="8" s="1"/>
  <c r="G134" i="8" l="1"/>
  <c r="G4" i="7" l="1"/>
  <c r="I4" i="6"/>
  <c r="H16" i="7" l="1"/>
  <c r="H25" i="7" s="1"/>
  <c r="H53" i="7" s="1"/>
  <c r="H15" i="7"/>
  <c r="H13" i="7"/>
  <c r="H12" i="7"/>
  <c r="H11" i="7"/>
  <c r="G16" i="7"/>
  <c r="G25" i="7" s="1"/>
  <c r="G53" i="7" s="1"/>
  <c r="G15" i="7"/>
  <c r="F97" i="7" s="1"/>
  <c r="G13" i="7"/>
  <c r="G12" i="7"/>
  <c r="G11" i="7"/>
  <c r="H108" i="7"/>
  <c r="G108" i="7"/>
  <c r="H54" i="7"/>
  <c r="G54" i="7"/>
  <c r="F36" i="7"/>
  <c r="H28" i="7" l="1"/>
  <c r="H44" i="7" s="1"/>
  <c r="G28" i="7"/>
  <c r="F48" i="7"/>
  <c r="H136" i="7" l="1"/>
  <c r="H43" i="7"/>
  <c r="H35" i="7"/>
  <c r="H41" i="7"/>
  <c r="H46" i="7"/>
  <c r="H45" i="7"/>
  <c r="H68" i="7"/>
  <c r="H101" i="7"/>
  <c r="H63" i="7" s="1"/>
  <c r="H42" i="7"/>
  <c r="H47" i="7"/>
  <c r="H34" i="7"/>
  <c r="H36" i="7" s="1"/>
  <c r="H40" i="7"/>
  <c r="H48" i="7" s="1"/>
  <c r="E102" i="7"/>
  <c r="H102" i="7" s="1"/>
  <c r="G45" i="7"/>
  <c r="G46" i="7"/>
  <c r="G44" i="7"/>
  <c r="G34" i="7"/>
  <c r="G136" i="7"/>
  <c r="G35" i="7"/>
  <c r="G68" i="7"/>
  <c r="G101" i="7"/>
  <c r="H66" i="7"/>
  <c r="H67" i="7" s="1"/>
  <c r="G40" i="7"/>
  <c r="G43" i="7"/>
  <c r="G42" i="7"/>
  <c r="G41" i="7"/>
  <c r="G47" i="7"/>
  <c r="G63" i="7" l="1"/>
  <c r="G65" i="7" s="1"/>
  <c r="G102" i="7"/>
  <c r="G66" i="7"/>
  <c r="G67" i="7" s="1"/>
  <c r="G48" i="7"/>
  <c r="H65" i="7"/>
  <c r="H69" i="7" s="1"/>
  <c r="G36" i="7"/>
  <c r="G69" i="7" l="1"/>
  <c r="G138" i="7" s="1"/>
  <c r="H138" i="7"/>
  <c r="I110" i="6" l="1"/>
  <c r="G110" i="6"/>
  <c r="F97" i="6"/>
  <c r="E95" i="6"/>
  <c r="F95" i="6" s="1"/>
  <c r="E93" i="6"/>
  <c r="F93" i="6" s="1"/>
  <c r="F91" i="6"/>
  <c r="F89" i="6"/>
  <c r="F87" i="6"/>
  <c r="E85" i="6"/>
  <c r="F85" i="6" s="1"/>
  <c r="F83" i="6"/>
  <c r="E81" i="6"/>
  <c r="F81" i="6" s="1"/>
  <c r="E79" i="6"/>
  <c r="F79" i="6" s="1"/>
  <c r="I56" i="6"/>
  <c r="G56" i="6"/>
  <c r="K32" i="1" l="1"/>
  <c r="J16" i="1"/>
  <c r="H54" i="6" l="1"/>
  <c r="H59" i="6" s="1"/>
  <c r="H60" i="6" s="1"/>
  <c r="H52" i="7"/>
  <c r="G52" i="7"/>
  <c r="G57" i="7" s="1"/>
  <c r="G58" i="7" s="1"/>
  <c r="G54" i="6"/>
  <c r="G51" i="8"/>
  <c r="G56" i="8" s="1"/>
  <c r="G57" i="8" s="1"/>
  <c r="H57" i="7"/>
  <c r="H58" i="7" s="1"/>
  <c r="I54" i="6"/>
  <c r="G96" i="7" l="1"/>
  <c r="G80" i="7"/>
  <c r="G94" i="7"/>
  <c r="G78" i="7"/>
  <c r="G86" i="7"/>
  <c r="G92" i="7"/>
  <c r="G76" i="7"/>
  <c r="G82" i="7"/>
  <c r="G90" i="7"/>
  <c r="G88" i="7"/>
  <c r="G74" i="7"/>
  <c r="G84" i="7"/>
  <c r="H90" i="7"/>
  <c r="H80" i="7"/>
  <c r="H76" i="7"/>
  <c r="H88" i="7"/>
  <c r="H86" i="7"/>
  <c r="H84" i="7"/>
  <c r="H74" i="7"/>
  <c r="H82" i="7"/>
  <c r="H96" i="7"/>
  <c r="H94" i="7"/>
  <c r="H78" i="7"/>
  <c r="H92" i="7"/>
  <c r="H139" i="6"/>
  <c r="H137" i="7"/>
  <c r="G137" i="7"/>
  <c r="G133" i="8"/>
  <c r="G85" i="8"/>
  <c r="G79" i="8"/>
  <c r="G93" i="8"/>
  <c r="G77" i="8"/>
  <c r="G87" i="8"/>
  <c r="G89" i="8"/>
  <c r="G83" i="8"/>
  <c r="G91" i="8"/>
  <c r="G75" i="8"/>
  <c r="G73" i="8"/>
  <c r="G81" i="8"/>
  <c r="G112" i="8"/>
  <c r="H99" i="7" l="1"/>
  <c r="H100" i="7" s="1"/>
  <c r="H103" i="7" s="1"/>
  <c r="H110" i="7" s="1"/>
  <c r="G96" i="8"/>
  <c r="G97" i="8" s="1"/>
  <c r="G100" i="8" s="1"/>
  <c r="G107" i="8" s="1"/>
  <c r="G135" i="8" s="1"/>
  <c r="G99" i="7"/>
  <c r="G100" i="7" s="1"/>
  <c r="G103" i="7" s="1"/>
  <c r="G110" i="7" s="1"/>
  <c r="F38" i="6"/>
  <c r="H139" i="7" l="1"/>
  <c r="G139" i="7"/>
  <c r="I4" i="11"/>
  <c r="E18" i="16" l="1"/>
  <c r="K21" i="9"/>
  <c r="G19" i="9"/>
  <c r="G20" i="9"/>
  <c r="G91" i="9" l="1"/>
  <c r="G92" i="9" s="1"/>
  <c r="K39" i="9"/>
  <c r="O39" i="9"/>
  <c r="S39" i="9"/>
  <c r="G21" i="9"/>
  <c r="G22" i="9" s="1"/>
  <c r="G38" i="9"/>
  <c r="G39" i="9" s="1"/>
  <c r="S22" i="9"/>
  <c r="O22" i="9"/>
  <c r="G78" i="9"/>
  <c r="G62" i="9"/>
  <c r="G63" i="9" s="1"/>
  <c r="G51" i="9"/>
  <c r="G52" i="9" s="1"/>
  <c r="K22" i="9"/>
  <c r="G77" i="5" l="1"/>
  <c r="G79" i="5" s="1"/>
  <c r="J4" i="9"/>
  <c r="G118" i="6" l="1"/>
  <c r="I118" i="6"/>
  <c r="H118" i="6"/>
  <c r="H116" i="7"/>
  <c r="G116" i="7"/>
  <c r="G113" i="8"/>
  <c r="G115" i="8" s="1"/>
  <c r="G59" i="6"/>
  <c r="I121" i="6" l="1"/>
  <c r="I142" i="6" s="1"/>
  <c r="G119" i="7"/>
  <c r="G121" i="6"/>
  <c r="G142" i="6" s="1"/>
  <c r="H121" i="6"/>
  <c r="H142" i="6" s="1"/>
  <c r="H119" i="7"/>
  <c r="G136" i="8"/>
  <c r="G120" i="8"/>
  <c r="G121" i="8" s="1"/>
  <c r="G125" i="8" s="1"/>
  <c r="I16" i="6"/>
  <c r="I15" i="6"/>
  <c r="I11" i="6"/>
  <c r="G124" i="7" l="1"/>
  <c r="G125" i="7" s="1"/>
  <c r="H124" i="7"/>
  <c r="H125" i="7" s="1"/>
  <c r="H128" i="7" s="1"/>
  <c r="I25" i="6"/>
  <c r="I27" i="6" s="1"/>
  <c r="I26" i="6"/>
  <c r="G140" i="7"/>
  <c r="H140" i="7"/>
  <c r="G124" i="8"/>
  <c r="G122" i="8"/>
  <c r="G123" i="8"/>
  <c r="G126" i="8"/>
  <c r="F50" i="6"/>
  <c r="G30" i="6"/>
  <c r="G129" i="7" l="1"/>
  <c r="G128" i="7"/>
  <c r="G130" i="7"/>
  <c r="H129" i="7"/>
  <c r="G126" i="7"/>
  <c r="H126" i="7"/>
  <c r="H127" i="7"/>
  <c r="G127" i="7"/>
  <c r="H130" i="7"/>
  <c r="I55" i="6"/>
  <c r="I59" i="6" s="1"/>
  <c r="E104" i="6"/>
  <c r="H104" i="6" s="1"/>
  <c r="I30" i="6"/>
  <c r="G127" i="8"/>
  <c r="G128" i="8" s="1"/>
  <c r="G137" i="8" s="1"/>
  <c r="G138" i="8" s="1"/>
  <c r="H69" i="6"/>
  <c r="H71" i="6" s="1"/>
  <c r="G138" i="6"/>
  <c r="G103" i="6"/>
  <c r="G70" i="6"/>
  <c r="G49" i="6"/>
  <c r="G44" i="6"/>
  <c r="G48" i="6"/>
  <c r="G42" i="6"/>
  <c r="G43" i="6"/>
  <c r="G37" i="6"/>
  <c r="G36" i="6"/>
  <c r="G45" i="6"/>
  <c r="G47" i="6"/>
  <c r="G46" i="6"/>
  <c r="G131" i="7" l="1"/>
  <c r="G132" i="7" s="1"/>
  <c r="G141" i="7" s="1"/>
  <c r="G142" i="7" s="1"/>
  <c r="E26" i="11" s="1"/>
  <c r="E32" i="11" s="1"/>
  <c r="F32" i="11" s="1"/>
  <c r="D40" i="12" s="1"/>
  <c r="F40" i="12" s="1"/>
  <c r="H131" i="7"/>
  <c r="H132" i="7" s="1"/>
  <c r="H141" i="7" s="1"/>
  <c r="H142" i="7" s="1"/>
  <c r="L28" i="13" s="1"/>
  <c r="I37" i="6"/>
  <c r="G104" i="6"/>
  <c r="I36" i="6"/>
  <c r="I38" i="6" s="1"/>
  <c r="I138" i="6"/>
  <c r="I43" i="6"/>
  <c r="I48" i="6"/>
  <c r="I49" i="6"/>
  <c r="I42" i="6"/>
  <c r="H90" i="6"/>
  <c r="H82" i="6"/>
  <c r="H88" i="6"/>
  <c r="H76" i="6"/>
  <c r="H78" i="6"/>
  <c r="H80" i="6"/>
  <c r="H94" i="6"/>
  <c r="H92" i="6"/>
  <c r="H96" i="6"/>
  <c r="H86" i="6"/>
  <c r="H84" i="6"/>
  <c r="H98" i="6"/>
  <c r="I103" i="6"/>
  <c r="I104" i="6"/>
  <c r="I46" i="6"/>
  <c r="I45" i="6"/>
  <c r="I44" i="6"/>
  <c r="I47" i="6"/>
  <c r="I70" i="6"/>
  <c r="H140" i="6"/>
  <c r="G38" i="6"/>
  <c r="G65" i="6"/>
  <c r="G67" i="6" s="1"/>
  <c r="G68" i="6"/>
  <c r="G69" i="6" s="1"/>
  <c r="G50" i="6"/>
  <c r="C16" i="16" l="1"/>
  <c r="E16" i="16" s="1"/>
  <c r="E51" i="11"/>
  <c r="F51" i="11" s="1"/>
  <c r="D64" i="12" s="1"/>
  <c r="F64" i="12" s="1"/>
  <c r="M13" i="11"/>
  <c r="M22" i="11" s="1"/>
  <c r="N22" i="11" s="1"/>
  <c r="L26" i="12" s="1"/>
  <c r="N26" i="12" s="1"/>
  <c r="C12" i="16"/>
  <c r="E12" i="16" s="1"/>
  <c r="C17" i="16"/>
  <c r="E17" i="16" s="1"/>
  <c r="C4" i="16"/>
  <c r="E4" i="16" s="1"/>
  <c r="E40" i="11"/>
  <c r="E41" i="11" s="1"/>
  <c r="F41" i="11" s="1"/>
  <c r="D52" i="12" s="1"/>
  <c r="F52" i="12" s="1"/>
  <c r="E74" i="11"/>
  <c r="E77" i="11" s="1"/>
  <c r="F77" i="11" s="1"/>
  <c r="D98" i="12" s="1"/>
  <c r="F98" i="12" s="1"/>
  <c r="C7" i="16"/>
  <c r="E7" i="16" s="1"/>
  <c r="E54" i="11"/>
  <c r="F54" i="11" s="1"/>
  <c r="D69" i="12" s="1"/>
  <c r="F69" i="12" s="1"/>
  <c r="F70" i="12" s="1"/>
  <c r="C14" i="16"/>
  <c r="E14" i="16" s="1"/>
  <c r="I65" i="6"/>
  <c r="I67" i="6" s="1"/>
  <c r="I50" i="6"/>
  <c r="I60" i="6" s="1"/>
  <c r="I68" i="6"/>
  <c r="I69" i="6" s="1"/>
  <c r="M14" i="11"/>
  <c r="N14" i="11" s="1"/>
  <c r="L14" i="12" s="1"/>
  <c r="N14" i="12" s="1"/>
  <c r="M18" i="11"/>
  <c r="N18" i="11" s="1"/>
  <c r="L20" i="12" s="1"/>
  <c r="N20" i="12" s="1"/>
  <c r="E35" i="11"/>
  <c r="F35" i="11" s="1"/>
  <c r="D45" i="12" s="1"/>
  <c r="F45" i="12" s="1"/>
  <c r="E33" i="11"/>
  <c r="F33" i="11" s="1"/>
  <c r="E28" i="11"/>
  <c r="F28" i="11" s="1"/>
  <c r="D34" i="12" s="1"/>
  <c r="F34" i="12" s="1"/>
  <c r="E27" i="11"/>
  <c r="F27" i="11" s="1"/>
  <c r="F26" i="11"/>
  <c r="D32" i="12" s="1"/>
  <c r="F32" i="12" s="1"/>
  <c r="E36" i="11"/>
  <c r="F36" i="11" s="1"/>
  <c r="D46" i="12" s="1"/>
  <c r="F46" i="12" s="1"/>
  <c r="E31" i="11"/>
  <c r="F31" i="11" s="1"/>
  <c r="D39" i="12" s="1"/>
  <c r="F39" i="12" s="1"/>
  <c r="F42" i="12" s="1"/>
  <c r="H101" i="6"/>
  <c r="G71" i="6"/>
  <c r="G140" i="6" s="1"/>
  <c r="G60" i="6"/>
  <c r="E42" i="11" l="1"/>
  <c r="F42" i="11" s="1"/>
  <c r="D53" i="12" s="1"/>
  <c r="F53" i="12" s="1"/>
  <c r="E46" i="11"/>
  <c r="F46" i="11" s="1"/>
  <c r="D59" i="12" s="1"/>
  <c r="F59" i="12" s="1"/>
  <c r="E56" i="11"/>
  <c r="F56" i="11" s="1"/>
  <c r="D72" i="12" s="1"/>
  <c r="F72" i="12" s="1"/>
  <c r="F73" i="12" s="1"/>
  <c r="E45" i="11"/>
  <c r="F45" i="11" s="1"/>
  <c r="D58" i="12" s="1"/>
  <c r="F58" i="12" s="1"/>
  <c r="F74" i="11"/>
  <c r="D95" i="12" s="1"/>
  <c r="F95" i="12" s="1"/>
  <c r="E76" i="11"/>
  <c r="F76" i="11" s="1"/>
  <c r="D97" i="12" s="1"/>
  <c r="F97" i="12" s="1"/>
  <c r="E79" i="11"/>
  <c r="F79" i="11" s="1"/>
  <c r="D102" i="12" s="1"/>
  <c r="F102" i="12" s="1"/>
  <c r="F103" i="12" s="1"/>
  <c r="E81" i="11"/>
  <c r="F81" i="11" s="1"/>
  <c r="D106" i="12" s="1"/>
  <c r="F106" i="12" s="1"/>
  <c r="F107" i="12" s="1"/>
  <c r="F40" i="11"/>
  <c r="D51" i="12" s="1"/>
  <c r="F51" i="12" s="1"/>
  <c r="E75" i="11"/>
  <c r="F75" i="11" s="1"/>
  <c r="D96" i="12" s="1"/>
  <c r="F96" i="12" s="1"/>
  <c r="M19" i="11"/>
  <c r="N19" i="11" s="1"/>
  <c r="L21" i="12" s="1"/>
  <c r="N21" i="12" s="1"/>
  <c r="N13" i="11"/>
  <c r="L13" i="12" s="1"/>
  <c r="N13" i="12" s="1"/>
  <c r="M21" i="11"/>
  <c r="N21" i="11" s="1"/>
  <c r="L25" i="12" s="1"/>
  <c r="N25" i="12" s="1"/>
  <c r="N27" i="12" s="1"/>
  <c r="M17" i="11"/>
  <c r="N17" i="11" s="1"/>
  <c r="L19" i="12" s="1"/>
  <c r="N19" i="12" s="1"/>
  <c r="I71" i="6"/>
  <c r="I140" i="6" s="1"/>
  <c r="G96" i="6"/>
  <c r="G80" i="6"/>
  <c r="G94" i="6"/>
  <c r="G78" i="6"/>
  <c r="G92" i="6"/>
  <c r="G86" i="6"/>
  <c r="G90" i="6"/>
  <c r="G98" i="6"/>
  <c r="G88" i="6"/>
  <c r="G84" i="6"/>
  <c r="G76" i="6"/>
  <c r="G82" i="6"/>
  <c r="F47" i="12"/>
  <c r="H102" i="6"/>
  <c r="H105" i="6" s="1"/>
  <c r="H112" i="6" s="1"/>
  <c r="G139" i="6"/>
  <c r="I139" i="6"/>
  <c r="F60" i="12" l="1"/>
  <c r="F99" i="12"/>
  <c r="D28" i="13" s="1"/>
  <c r="M28" i="13" s="1"/>
  <c r="N22" i="12"/>
  <c r="H126" i="6"/>
  <c r="H127" i="6" s="1"/>
  <c r="I82" i="6"/>
  <c r="I78" i="6"/>
  <c r="I86" i="6"/>
  <c r="I88" i="6"/>
  <c r="I94" i="6"/>
  <c r="I92" i="6"/>
  <c r="I98" i="6"/>
  <c r="I84" i="6"/>
  <c r="I76" i="6"/>
  <c r="I90" i="6"/>
  <c r="I80" i="6"/>
  <c r="I96" i="6"/>
  <c r="H141" i="6"/>
  <c r="G101" i="6"/>
  <c r="E28" i="13" l="1"/>
  <c r="F28" i="13"/>
  <c r="H28" i="13" s="1"/>
  <c r="H131" i="6"/>
  <c r="H132" i="6"/>
  <c r="H130" i="6"/>
  <c r="H128" i="6"/>
  <c r="H129" i="6"/>
  <c r="I101" i="6"/>
  <c r="I102" i="6" s="1"/>
  <c r="I105" i="6" s="1"/>
  <c r="I112" i="6" s="1"/>
  <c r="G102" i="6"/>
  <c r="G105" i="6" s="1"/>
  <c r="G112" i="6" s="1"/>
  <c r="I126" i="6" l="1"/>
  <c r="G126" i="6"/>
  <c r="G141" i="6"/>
  <c r="I141" i="6"/>
  <c r="I127" i="6" l="1"/>
  <c r="I128" i="6" s="1"/>
  <c r="G127" i="6"/>
  <c r="G128" i="6" s="1"/>
  <c r="H133" i="6"/>
  <c r="H134" i="6" s="1"/>
  <c r="H143" i="6" s="1"/>
  <c r="H144" i="6" s="1"/>
  <c r="I131" i="6" l="1"/>
  <c r="I132" i="6"/>
  <c r="G130" i="6"/>
  <c r="G131" i="6"/>
  <c r="G129" i="6"/>
  <c r="G132" i="6"/>
  <c r="I129" i="6"/>
  <c r="I130" i="6"/>
  <c r="L27" i="13"/>
  <c r="E61" i="11"/>
  <c r="L18" i="13"/>
  <c r="L21" i="13"/>
  <c r="L22" i="13"/>
  <c r="M26" i="11"/>
  <c r="I26" i="11"/>
  <c r="C5" i="16"/>
  <c r="M15" i="11"/>
  <c r="I133" i="6" l="1"/>
  <c r="I134" i="6" s="1"/>
  <c r="I143" i="6" s="1"/>
  <c r="I144" i="6" s="1"/>
  <c r="L25" i="13" s="1"/>
  <c r="E70" i="11"/>
  <c r="F70" i="11" s="1"/>
  <c r="D90" i="12" s="1"/>
  <c r="F90" i="12" s="1"/>
  <c r="E66" i="11"/>
  <c r="F66" i="11" s="1"/>
  <c r="D84" i="12" s="1"/>
  <c r="F84" i="12" s="1"/>
  <c r="E69" i="11"/>
  <c r="F69" i="11" s="1"/>
  <c r="D89" i="12" s="1"/>
  <c r="F89" i="12" s="1"/>
  <c r="E65" i="11"/>
  <c r="F65" i="11" s="1"/>
  <c r="D83" i="12" s="1"/>
  <c r="F83" i="12" s="1"/>
  <c r="F61" i="11"/>
  <c r="D77" i="12" s="1"/>
  <c r="F77" i="12" s="1"/>
  <c r="E63" i="11"/>
  <c r="F63" i="11" s="1"/>
  <c r="D79" i="12" s="1"/>
  <c r="F79" i="12" s="1"/>
  <c r="E62" i="11"/>
  <c r="F62" i="11" s="1"/>
  <c r="D78" i="12" s="1"/>
  <c r="F78" i="12" s="1"/>
  <c r="E67" i="11"/>
  <c r="F67" i="11" s="1"/>
  <c r="D85" i="12" s="1"/>
  <c r="F85" i="12" s="1"/>
  <c r="G133" i="6"/>
  <c r="F91" i="12" l="1"/>
  <c r="F80" i="12"/>
  <c r="F86" i="12"/>
  <c r="D26" i="13"/>
  <c r="F26" i="13" s="1"/>
  <c r="G134" i="6"/>
  <c r="G143" i="6" s="1"/>
  <c r="E52" i="11"/>
  <c r="F52" i="11" s="1"/>
  <c r="D65" i="12" s="1"/>
  <c r="F65" i="12" s="1"/>
  <c r="F66" i="12" s="1"/>
  <c r="D25" i="13" s="1"/>
  <c r="F25" i="13" s="1"/>
  <c r="E5" i="16"/>
  <c r="C15" i="16"/>
  <c r="E15" i="16" s="1"/>
  <c r="N15" i="11"/>
  <c r="L15" i="12" s="1"/>
  <c r="N15" i="12" s="1"/>
  <c r="N16" i="12" s="1"/>
  <c r="D18" i="13" s="1"/>
  <c r="H25" i="13" l="1"/>
  <c r="M18" i="13"/>
  <c r="F18" i="13"/>
  <c r="D27" i="13"/>
  <c r="M25" i="13"/>
  <c r="E25" i="13"/>
  <c r="G144" i="6"/>
  <c r="M27" i="13" l="1"/>
  <c r="F27" i="13"/>
  <c r="H27" i="13" s="1"/>
  <c r="E27" i="13"/>
  <c r="L23" i="13"/>
  <c r="L24" i="13"/>
  <c r="L19" i="13"/>
  <c r="L20" i="13"/>
  <c r="L17" i="13"/>
  <c r="L16" i="13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E13" i="11"/>
  <c r="E43" i="11"/>
  <c r="F43" i="11" s="1"/>
  <c r="D54" i="12" s="1"/>
  <c r="F54" i="12" s="1"/>
  <c r="F55" i="12" s="1"/>
  <c r="D24" i="13" s="1"/>
  <c r="F24" i="13" s="1"/>
  <c r="Q13" i="11"/>
  <c r="E29" i="11"/>
  <c r="F29" i="11" s="1"/>
  <c r="D35" i="12" s="1"/>
  <c r="F35" i="12" s="1"/>
  <c r="F36" i="12" s="1"/>
  <c r="D20" i="13" s="1"/>
  <c r="F20" i="13" s="1"/>
  <c r="I13" i="11"/>
  <c r="Q26" i="11"/>
  <c r="L29" i="13" l="1"/>
  <c r="M20" i="13"/>
  <c r="M24" i="13"/>
  <c r="H24" i="13"/>
  <c r="E24" i="13"/>
  <c r="J26" i="11"/>
  <c r="H32" i="12" s="1"/>
  <c r="J32" i="12" s="1"/>
  <c r="I27" i="11"/>
  <c r="J27" i="11" s="1"/>
  <c r="H33" i="12" s="1"/>
  <c r="J33" i="12" s="1"/>
  <c r="I36" i="11"/>
  <c r="J36" i="11" s="1"/>
  <c r="H46" i="12" s="1"/>
  <c r="J46" i="12" s="1"/>
  <c r="I31" i="11"/>
  <c r="J31" i="11" s="1"/>
  <c r="H39" i="12" s="1"/>
  <c r="J39" i="12" s="1"/>
  <c r="I33" i="11"/>
  <c r="J33" i="11" s="1"/>
  <c r="I32" i="11"/>
  <c r="J32" i="11" s="1"/>
  <c r="H40" i="12" s="1"/>
  <c r="J40" i="12" s="1"/>
  <c r="I29" i="11"/>
  <c r="J29" i="11" s="1"/>
  <c r="H35" i="12" s="1"/>
  <c r="J35" i="12" s="1"/>
  <c r="I35" i="11"/>
  <c r="J35" i="11" s="1"/>
  <c r="H45" i="12" s="1"/>
  <c r="J45" i="12" s="1"/>
  <c r="I28" i="11"/>
  <c r="J28" i="11" s="1"/>
  <c r="E2" i="16"/>
  <c r="E3" i="16"/>
  <c r="E21" i="11"/>
  <c r="E14" i="11"/>
  <c r="F14" i="11" s="1"/>
  <c r="F13" i="11"/>
  <c r="D13" i="12" s="1"/>
  <c r="F13" i="12" s="1"/>
  <c r="E22" i="11"/>
  <c r="F22" i="11" s="1"/>
  <c r="D26" i="12" s="1"/>
  <c r="F26" i="12" s="1"/>
  <c r="E18" i="11"/>
  <c r="F18" i="11" s="1"/>
  <c r="D20" i="12" s="1"/>
  <c r="F20" i="12" s="1"/>
  <c r="E17" i="11"/>
  <c r="F17" i="11" s="1"/>
  <c r="D19" i="12" s="1"/>
  <c r="F19" i="12" s="1"/>
  <c r="E15" i="11"/>
  <c r="F15" i="11" s="1"/>
  <c r="D15" i="12" s="1"/>
  <c r="F15" i="12" s="1"/>
  <c r="E19" i="11"/>
  <c r="F19" i="11" s="1"/>
  <c r="Q28" i="11"/>
  <c r="R28" i="11" s="1"/>
  <c r="P34" i="12" s="1"/>
  <c r="R34" i="12" s="1"/>
  <c r="Q27" i="11"/>
  <c r="R27" i="11" s="1"/>
  <c r="P33" i="12" s="1"/>
  <c r="R33" i="12" s="1"/>
  <c r="Q36" i="11"/>
  <c r="R36" i="11" s="1"/>
  <c r="P46" i="12" s="1"/>
  <c r="R46" i="12" s="1"/>
  <c r="R26" i="11"/>
  <c r="P32" i="12" s="1"/>
  <c r="R32" i="12" s="1"/>
  <c r="Q31" i="11"/>
  <c r="R31" i="11" s="1"/>
  <c r="P39" i="12" s="1"/>
  <c r="R39" i="12" s="1"/>
  <c r="Q29" i="11"/>
  <c r="R29" i="11" s="1"/>
  <c r="P35" i="12" s="1"/>
  <c r="R35" i="12" s="1"/>
  <c r="Q35" i="11"/>
  <c r="R35" i="11" s="1"/>
  <c r="P45" i="12" s="1"/>
  <c r="R45" i="12" s="1"/>
  <c r="Q33" i="11"/>
  <c r="R33" i="11" s="1"/>
  <c r="Q32" i="11"/>
  <c r="R32" i="11" s="1"/>
  <c r="P40" i="12" s="1"/>
  <c r="R40" i="12" s="1"/>
  <c r="I14" i="11"/>
  <c r="J14" i="11" s="1"/>
  <c r="I22" i="11"/>
  <c r="J22" i="11" s="1"/>
  <c r="H26" i="12" s="1"/>
  <c r="J26" i="12" s="1"/>
  <c r="I21" i="11"/>
  <c r="J21" i="11" s="1"/>
  <c r="H25" i="12" s="1"/>
  <c r="J25" i="12" s="1"/>
  <c r="I17" i="11"/>
  <c r="I15" i="11"/>
  <c r="J15" i="11" s="1"/>
  <c r="H15" i="12" s="1"/>
  <c r="J15" i="12" s="1"/>
  <c r="J13" i="11"/>
  <c r="H13" i="12" s="1"/>
  <c r="J13" i="12" s="1"/>
  <c r="M29" i="11"/>
  <c r="N29" i="11" s="1"/>
  <c r="L35" i="12" s="1"/>
  <c r="N35" i="12" s="1"/>
  <c r="M27" i="11"/>
  <c r="N27" i="11" s="1"/>
  <c r="L33" i="12" s="1"/>
  <c r="N33" i="12" s="1"/>
  <c r="N26" i="11"/>
  <c r="L32" i="12" s="1"/>
  <c r="N32" i="12" s="1"/>
  <c r="M33" i="11"/>
  <c r="N33" i="11" s="1"/>
  <c r="L41" i="12" s="1"/>
  <c r="N41" i="12" s="1"/>
  <c r="M31" i="11"/>
  <c r="N31" i="11" s="1"/>
  <c r="L39" i="12" s="1"/>
  <c r="N39" i="12" s="1"/>
  <c r="M32" i="11"/>
  <c r="N32" i="11" s="1"/>
  <c r="L40" i="12" s="1"/>
  <c r="N40" i="12" s="1"/>
  <c r="M28" i="11"/>
  <c r="N28" i="11" s="1"/>
  <c r="M36" i="11"/>
  <c r="N36" i="11" s="1"/>
  <c r="L46" i="12" s="1"/>
  <c r="N46" i="12" s="1"/>
  <c r="N47" i="12" s="1"/>
  <c r="M35" i="11"/>
  <c r="N35" i="11" s="1"/>
  <c r="Q17" i="11"/>
  <c r="R17" i="11" s="1"/>
  <c r="Q22" i="11"/>
  <c r="R22" i="11" s="1"/>
  <c r="P26" i="12" s="1"/>
  <c r="R26" i="12" s="1"/>
  <c r="Q14" i="11"/>
  <c r="R14" i="11" s="1"/>
  <c r="Q18" i="11"/>
  <c r="R18" i="11" s="1"/>
  <c r="Q19" i="11"/>
  <c r="R19" i="11" s="1"/>
  <c r="R13" i="11"/>
  <c r="P13" i="12" s="1"/>
  <c r="R13" i="12" s="1"/>
  <c r="Q21" i="11"/>
  <c r="R21" i="11" s="1"/>
  <c r="P25" i="12" s="1"/>
  <c r="R25" i="12" s="1"/>
  <c r="Q15" i="11"/>
  <c r="R15" i="11" s="1"/>
  <c r="P15" i="12" s="1"/>
  <c r="R15" i="12" s="1"/>
  <c r="F21" i="11" l="1"/>
  <c r="D25" i="12" s="1"/>
  <c r="F25" i="12" s="1"/>
  <c r="F27" i="12" s="1"/>
  <c r="J27" i="12"/>
  <c r="R27" i="12"/>
  <c r="G2" i="16"/>
  <c r="R36" i="12"/>
  <c r="F16" i="12"/>
  <c r="R16" i="12"/>
  <c r="F22" i="12"/>
  <c r="R42" i="12"/>
  <c r="N42" i="12"/>
  <c r="J47" i="12"/>
  <c r="N36" i="12"/>
  <c r="J16" i="12"/>
  <c r="R47" i="12"/>
  <c r="E19" i="16"/>
  <c r="J42" i="12"/>
  <c r="J17" i="11"/>
  <c r="H19" i="12" s="1"/>
  <c r="J19" i="12" s="1"/>
  <c r="J22" i="12" s="1"/>
  <c r="I18" i="11"/>
  <c r="J36" i="12"/>
  <c r="D19" i="13" l="1"/>
  <c r="F19" i="13" s="1"/>
  <c r="D22" i="13"/>
  <c r="F22" i="13" s="1"/>
  <c r="D16" i="13"/>
  <c r="F16" i="13" s="1"/>
  <c r="D17" i="13"/>
  <c r="F17" i="13" s="1"/>
  <c r="D23" i="13"/>
  <c r="F23" i="13" s="1"/>
  <c r="D21" i="13"/>
  <c r="M109" i="12"/>
  <c r="J18" i="11"/>
  <c r="I19" i="11"/>
  <c r="J19" i="11" s="1"/>
  <c r="H16" i="13" l="1"/>
  <c r="M21" i="13"/>
  <c r="F21" i="13"/>
  <c r="H20" i="13" s="1"/>
  <c r="M23" i="13"/>
  <c r="M22" i="13"/>
  <c r="M17" i="13"/>
  <c r="M16" i="13"/>
  <c r="M19" i="13"/>
  <c r="E16" i="13"/>
  <c r="E20" i="13"/>
  <c r="E29" i="13" l="1"/>
  <c r="L31" i="13" s="1"/>
  <c r="L33" i="13" s="1"/>
  <c r="I16" i="13" l="1"/>
  <c r="J38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Cálculo feito com base nos dias úteis no ano de 2026, considerando 52 sábados, 52 domingos e 12 feriados nacionais (incluindo segunda-feira de carnaval). O valor encontrado foi 20,83, que decidimos aproximar para 21. Valor não deve ser alterado pela licitante, conforme item 2 da aba 'Instruções'. 
=ARRED((365-52-52-(11))/12;2)</t>
        </r>
      </text>
    </comment>
    <comment ref="B1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B17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Quarta.</t>
        </r>
      </text>
    </comment>
    <comment ref="B21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Nona.</t>
        </r>
      </text>
    </comment>
    <comment ref="E26" authorId="0" shapeId="0" xr:uid="{230FD70B-F7BD-4128-9E04-F6B2AEE48B93}">
      <text>
        <r>
          <rPr>
            <b/>
            <sz val="9"/>
            <color indexed="81"/>
            <rFont val="Segoe UI"/>
          </rPr>
          <t>Leslie Soares Pereira:</t>
        </r>
        <r>
          <rPr>
            <sz val="9"/>
            <color indexed="81"/>
            <rFont val="Segoe UI"/>
          </rPr>
          <t xml:space="preserve">
Escolha o regime tributario na seta ao lado.</t>
        </r>
      </text>
    </comment>
    <comment ref="K26" authorId="0" shapeId="0" xr:uid="{4E90134F-1EB6-4AA0-A46C-E535CB44EDA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27" authorId="0" shapeId="0" xr:uid="{9454BFAD-6A77-4BF7-BFE1-214783F6B63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36F9DF4F-EB83-4F7B-8534-1A30E3158D2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19" authorId="0" shapeId="0" xr:uid="{52FB7149-4C8F-40A9-9F1C-DEEC8731D1A4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F19" authorId="0" shapeId="0" xr:uid="{FA7CE14F-1149-4617-989C-F6A8C429173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J19" authorId="0" shapeId="0" xr:uid="{4AD62835-F651-46F6-9394-C41EEC56D78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N19" authorId="0" shapeId="0" xr:uid="{E6B1CAEC-1EB9-416E-B0D5-DA7D57E6917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R19" authorId="0" shapeId="0" xr:uid="{55C9164A-238C-4F8B-92DC-3FE61964984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23" authorId="1" shapeId="0" xr:uid="{35E4C0C7-F680-4AEC-B333-408529C7986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K23" authorId="1" shapeId="0" xr:uid="{16A1765D-3FBA-426C-B839-6A102F31907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P23" authorId="1" shapeId="0" xr:uid="{77C606AE-6FCE-403E-A03A-3BE140CB5E2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2 serventes de 8,8 horas.</t>
        </r>
      </text>
    </comment>
    <comment ref="S23" authorId="1" shapeId="0" xr:uid="{9CF6D84C-207A-41D1-872D-A152EF20B7A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3" authorId="1" shapeId="0" xr:uid="{BE0B48E9-5BC6-4AAD-A265-827A7FBED40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E23" authorId="1" shapeId="0" xr:uid="{585F6D99-C422-4657-925A-EB4098DCCB5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I23" authorId="1" shapeId="0" xr:uid="{CCA79DB0-80F9-4627-8FBB-9A01492040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3 de 8,8 horas, precisando ajustar a produtividade original.</t>
        </r>
      </text>
    </comment>
    <comment ref="AM23" authorId="1" shapeId="0" xr:uid="{7851889E-01AA-4CF1-8A91-66227DCDA69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Há justificativa para 2 de 6 horas e para 2 de 8,8 horas.</t>
        </r>
      </text>
    </comment>
    <comment ref="B37" authorId="0" shapeId="0" xr:uid="{A2F90A53-64EF-4482-96CA-09BD0014631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F37" authorId="0" shapeId="0" xr:uid="{8A76EFB5-87DE-4330-9328-A824C8E9191D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J37" authorId="0" shapeId="0" xr:uid="{C9FBC8D7-F597-4FAD-9CE1-9843FC50DC1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N37" authorId="0" shapeId="0" xr:uid="{C24F10BB-EFB8-420B-8CD4-5CFA8B9FB2D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R37" authorId="0" shapeId="0" xr:uid="{C1DF7A06-145B-4E90-AC0E-ECED80CE6D3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41" authorId="1" shapeId="0" xr:uid="{6352A31E-62FC-4550-AAC3-8BF6FFEF177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2 serventes de 6 horas.</t>
        </r>
      </text>
    </comment>
    <comment ref="L41" authorId="1" shapeId="0" xr:uid="{8841DD69-A0FB-48EE-B8A7-303C30B2227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1 servente de 8,8 horas.</t>
        </r>
      </text>
    </comment>
    <comment ref="P41" authorId="1" shapeId="0" xr:uid="{3C15D3B1-A2B9-46A3-81DB-A7AEAFD764B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2 servente de 8,8 horas.</t>
        </r>
      </text>
    </comment>
    <comment ref="S41" authorId="1" shapeId="0" xr:uid="{D6D3711D-6CFD-409A-9D07-99061E7E44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B51" authorId="0" shapeId="0" xr:uid="{BFB34712-2773-448E-AB2B-565949F46E83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55" authorId="1" shapeId="0" xr:uid="{5E3A9F0B-79E1-4850-9ED8-B34DC45A492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Serão 2 serventes de 8,8 horas e 1 servente de 6 horas.</t>
        </r>
      </text>
    </comment>
    <comment ref="B65" authorId="0" shapeId="0" xr:uid="{C2ADBAB6-755D-497B-9617-EAA19F1F6B0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68" authorId="1" shapeId="0" xr:uid="{6CA0F401-AB9F-4FA6-A632-0F104A64849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10 serventes de 8,8 horas.</t>
        </r>
      </text>
    </comment>
    <comment ref="B81" authorId="0" shapeId="0" xr:uid="{0DA12977-0ACE-46CF-9E98-B4EBC92ACE8A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85" authorId="1" shapeId="0" xr:uid="{048E2FF2-5E88-4EB0-AFC8-CE087CF4CA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Será 1 servente de 8,8 horas.</t>
        </r>
      </text>
    </comment>
    <comment ref="B97" authorId="0" shapeId="0" xr:uid="{1F6C0C87-055C-4255-AA95-89A762A0AC9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100" authorId="1" shapeId="0" xr:uid="{5C8B4F9D-08E4-4B8B-8882-9AE10377480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Serão 5 serventes de 8,8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8" authorId="0" shapeId="0" xr:uid="{00000000-0006-0000-0A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35" authorId="0" shapeId="0" xr:uid="{00000000-0006-0000-0A00-000002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8" authorId="0" shapeId="0" xr:uid="{00000000-0006-0000-0A00-000003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60" authorId="0" shapeId="0" xr:uid="{00000000-0006-0000-0A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75" authorId="0" shapeId="0" xr:uid="{00000000-0006-0000-0A00-000005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9" authorId="0" shapeId="0" xr:uid="{00000000-0006-0000-0A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G10" authorId="0" shapeId="0" xr:uid="{EA177520-5926-44D7-B223-E667368B064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0" authorId="0" shapeId="0" xr:uid="{F2BF0C42-876F-4579-917B-3353FB7C329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23" authorId="0" shapeId="0" xr:uid="{A921EAFF-245A-4B27-B944-0F926FE7AA5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23" authorId="0" shapeId="0" xr:uid="{7B1DD479-DC4D-46D5-A883-210E97E297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33" authorId="0" shapeId="0" xr:uid="{181104AB-1455-4AA4-9E4B-8533C1FAFDF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33" authorId="0" shapeId="0" xr:uid="{71C14403-3271-4A83-A3E0-2423848D01A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F37" authorId="1" shapeId="0" xr:uid="{00000000-0006-0000-07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6" authorId="1" shapeId="0" xr:uid="{00000000-0006-0000-0700-000003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3" authorId="0" shapeId="0" xr:uid="{102759BD-EEB6-4F53-B1DC-7B13FDD3050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63" authorId="0" shapeId="0" xr:uid="{E58F50F3-C67F-4754-9DC4-D8C8C6665B8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65" authorId="1" shapeId="0" xr:uid="{00000000-0006-0000-07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5" authorId="1" shapeId="0" xr:uid="{00000000-0006-0000-07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5" authorId="1" shapeId="0" xr:uid="{00000000-0006-0000-0700-000006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6" authorId="0" shapeId="0" xr:uid="{00000000-0006-0000-07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8" authorId="1" shapeId="0" xr:uid="{00000000-0006-0000-07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1" shapeId="0" xr:uid="{00000000-0006-0000-0700-000009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1" shapeId="0" xr:uid="{00000000-0006-0000-0700-00000A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0" authorId="0" shapeId="0" xr:uid="{00000000-0006-0000-0700-00000B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G74" authorId="0" shapeId="0" xr:uid="{8295F5A1-0FE6-465D-80EE-3D80F5DAD26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74" authorId="0" shapeId="0" xr:uid="{B64E828B-BC8C-4B9F-9288-32ACCE150BA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C76" authorId="0" shapeId="0" xr:uid="{00000000-0006-0000-0700-00000C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102" authorId="1" shapeId="0" xr:uid="{00000000-0006-0000-0700-00000D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4" authorId="0" shapeId="0" xr:uid="{BDF21E6D-87E4-4FFB-9223-EFCD65E438D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7" authorId="1" shapeId="0" xr:uid="{00000000-0006-0000-0700-00000E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  <comment ref="G115" authorId="0" shapeId="0" xr:uid="{4D7A214F-E17C-42B6-A9D0-3F6E2C45389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15" authorId="0" shapeId="0" xr:uid="{16A2C03C-0FAD-48BA-AD5C-FAA12BC9ECB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124" authorId="0" shapeId="0" xr:uid="{F4B679AB-3CE1-4048-8163-AFD17F03AF4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24" authorId="0" shapeId="0" xr:uid="{840BC902-3436-4E12-902B-7502511A87B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137" authorId="0" shapeId="0" xr:uid="{5E7C8923-4D13-4A68-B1CF-F5DCEC068AB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37" authorId="0" shapeId="0" xr:uid="{B70AD85D-0ABD-4551-B01A-166DB88547B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G10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F35" authorId="1" shapeId="0" xr:uid="{00000000-0006-0000-08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4" authorId="1" shapeId="0" xr:uid="{00000000-0006-0000-0800-000003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3" authorId="1" shapeId="0" xr:uid="{00000000-0006-0000-08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3" authorId="1" shapeId="0" xr:uid="{00000000-0006-0000-08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4" authorId="0" shapeId="0" xr:uid="{00000000-0006-0000-0800-000006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6" authorId="1" shapeId="0" xr:uid="{00000000-0006-0000-0800-000007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1" shapeId="0" xr:uid="{00000000-0006-0000-08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8" authorId="0" shapeId="0" xr:uid="{00000000-0006-0000-0800-000009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4" authorId="0" shapeId="0" xr:uid="{00000000-0006-0000-0800-00000A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96" authorId="0" shapeId="0" xr:uid="{B222B836-F9F9-4DBF-A10E-7D6E5AE1316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1" shapeId="0" xr:uid="{00000000-0006-0000-0800-00000B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2" authorId="0" shapeId="0" xr:uid="{ADAC70AE-275D-4B94-850F-3D20C00BBF0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5" authorId="1" shapeId="0" xr:uid="{00000000-0006-0000-0800-00000C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4" authorId="0" shapeId="0" xr:uid="{00000000-0006-0000-0900-000001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3" authorId="0" shapeId="0" xr:uid="{00000000-0006-0000-0900-000002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2" authorId="0" shapeId="0" xr:uid="{00000000-0006-0000-0900-000003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3" authorId="1" shapeId="0" xr:uid="{00000000-0006-0000-09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5" authorId="0" shapeId="0" xr:uid="{00000000-0006-0000-09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7" authorId="1" shapeId="0" xr:uid="{00000000-0006-0000-0900-000006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3" authorId="1" shapeId="0" xr:uid="{00000000-0006-0000-09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97" authorId="0" shapeId="0" xr:uid="{00000000-0006-0000-09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A102" authorId="0" shapeId="0" xr:uid="{00000000-0006-0000-0900-000009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0" authorId="0" shapeId="0" xr:uid="{00000000-0006-0000-0B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34" authorId="0" shapeId="0" xr:uid="{00000000-0006-0000-0B00-000002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4" authorId="0" shapeId="0" xr:uid="{00000000-0006-0000-0B00-000003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55" authorId="0" shapeId="0" xr:uid="{00000000-0006-0000-0B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68" authorId="0" shapeId="0" xr:uid="{00000000-0006-0000-0B00-000005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0" authorId="0" shapeId="0" xr:uid="{00000000-0006-0000-0B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4" authorId="0" shapeId="0" xr:uid="{00000000-0006-0000-0C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4" authorId="0" shapeId="0" xr:uid="{8BD927CB-9819-4145-8ABF-53A5CE905854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57" authorId="0" shapeId="0" xr:uid="{ADD7D1EF-73A3-4AED-B922-ECFD4DC734BB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71" authorId="0" shapeId="0" xr:uid="{00000000-0006-0000-0C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8" authorId="0" shapeId="0" xr:uid="{0E2A2056-0978-4097-B7E1-866EF567A451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105" authorId="0" shapeId="0" xr:uid="{00000000-0006-0000-0C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<sst xmlns="http://schemas.openxmlformats.org/spreadsheetml/2006/main" count="1910" uniqueCount="544">
  <si>
    <t>PLANILHA DE CUSTOS E FORMAÇÃO DE PREÇOS</t>
  </si>
  <si>
    <t>Número do  Processo:</t>
  </si>
  <si>
    <t>Dia _____/_____/________  às ____:_____ horas</t>
  </si>
  <si>
    <t>DADOS REFERENTES À CONTRATAÇÃO E DISCRIMINAÇÃO DOS SERVIÇOS</t>
  </si>
  <si>
    <t>A</t>
  </si>
  <si>
    <t>B</t>
  </si>
  <si>
    <t>C</t>
  </si>
  <si>
    <t>D</t>
  </si>
  <si>
    <t>SERVENTE</t>
  </si>
  <si>
    <t>E</t>
  </si>
  <si>
    <t>Classificação Brasileira de Ocupações (CBO)</t>
  </si>
  <si>
    <t>5143-20</t>
  </si>
  <si>
    <t>F</t>
  </si>
  <si>
    <t>G</t>
  </si>
  <si>
    <t>VALOR</t>
  </si>
  <si>
    <t>Salário Base</t>
  </si>
  <si>
    <t>Alíquota</t>
  </si>
  <si>
    <t>INSS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</si>
  <si>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</si>
  <si>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</si>
  <si>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</si>
  <si>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</si>
  <si>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</si>
  <si>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</si>
  <si>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H</t>
  </si>
  <si>
    <t>FGTS</t>
  </si>
  <si>
    <t>Incidência do Submódulo 2.2 sobre Férias, 1/3 de Férias e 13º Salário</t>
  </si>
  <si>
    <t>DADOS REFERENTES A BENEFÍCIOS MENSAIS E DIÁRIOS</t>
  </si>
  <si>
    <t>Auxílio Alimentação</t>
  </si>
  <si>
    <t>Valor do Vale</t>
  </si>
  <si>
    <t>Valor Descontado do Trabalhador</t>
  </si>
  <si>
    <t>Vale Transporte</t>
  </si>
  <si>
    <t>Nº de Bilhetes</t>
  </si>
  <si>
    <t>Benefício Social Familiar</t>
  </si>
  <si>
    <t>Valor do Benefício</t>
  </si>
  <si>
    <t>Aviso Prévio Indenizado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</si>
  <si>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</si>
  <si>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</si>
  <si>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</si>
  <si>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</si>
  <si>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</si>
  <si>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</si>
  <si>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</si>
  <si>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</si>
  <si>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</si>
  <si>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</si>
  <si>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</si>
  <si>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</si>
  <si>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</si>
  <si>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</si>
  <si>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Lucro Real</t>
  </si>
  <si>
    <t>Faturamento Anual</t>
  </si>
  <si>
    <t>PIS</t>
  </si>
  <si>
    <t>COFINS</t>
  </si>
  <si>
    <t>ISSQN – Rio de Janeiro/RJ</t>
  </si>
  <si>
    <t>Contratação de serviços de limpeza asseio e conservação, com fornecimento de material, utensílios e equipamentos, para as unidades do município do Rio de Janeiro</t>
  </si>
  <si>
    <t>DADOS REFERENTES A CONVENÇÕES COLETIVAS DE TRABAHO</t>
  </si>
  <si>
    <t>CATEGORIA NA LICITAÇÃO</t>
  </si>
  <si>
    <t>MUNICÍPIO</t>
  </si>
  <si>
    <t>CCT</t>
  </si>
  <si>
    <t>CATEGORIA PROFISSIONAL</t>
  </si>
  <si>
    <t>ANO DE CELEBRAÇÃO</t>
  </si>
  <si>
    <t>DATA BASE</t>
  </si>
  <si>
    <t>PISO SALARIAL DA CATEGORIA</t>
  </si>
  <si>
    <t>Servente SEM Adicional</t>
  </si>
  <si>
    <t>Servente COM Adicional</t>
  </si>
  <si>
    <t>Rio de Janeiro</t>
  </si>
  <si>
    <t>I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</si>
  <si>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</si>
  <si>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</si>
  <si>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</si>
  <si>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</si>
  <si>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</si>
  <si>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</si>
  <si>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</si>
  <si>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</si>
  <si>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</si>
  <si>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</si>
  <si>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TOTAL Submódulo 2.2</t>
  </si>
  <si>
    <t>Submódulo 2.3 - Benefícios Mensais e Diários</t>
  </si>
  <si>
    <t>TOTAL Submódulo 2.3</t>
  </si>
  <si>
    <t>TOTAL - MÓDULO 2 - ENCARGOS E BENEFÍCIOS ANUAIS, MENSAIS E DIÁRIOS</t>
  </si>
  <si>
    <t>MÓDULO 3 - PROVISÃO PARA RESCISÃO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</si>
  <si>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</si>
  <si>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</si>
  <si>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</si>
  <si>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</si>
  <si>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</si>
  <si>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Subtotal do Submódulo 4.1</t>
  </si>
  <si>
    <t>Incidência do Submódulo 2.2 sobre o Submódulo 4.1</t>
  </si>
  <si>
    <t xml:space="preserve">Férias   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</si>
  <si>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</si>
  <si>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</si>
  <si>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</si>
  <si>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</si>
  <si>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</si>
  <si>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</si>
  <si>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</si>
  <si>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</si>
  <si>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</si>
  <si>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</si>
  <si>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</si>
  <si>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</si>
  <si>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</si>
  <si>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</si>
  <si>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</si>
  <si>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</si>
  <si>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</si>
  <si>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</si>
  <si>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</si>
  <si>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</si>
  <si>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</si>
  <si>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</si>
  <si>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</si>
  <si>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</si>
  <si>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Município:</t>
  </si>
  <si>
    <t>Sindicatos Vinculados (CNPJ) OU CCT Registrada:</t>
  </si>
  <si>
    <t xml:space="preserve">Ano do Acordo, Convenção ou Sentença Normativa em Dissídio Coletivo: </t>
  </si>
  <si>
    <t>Categoria profissional (vinculada a execução contratual):</t>
  </si>
  <si>
    <t>Data base da categoria:</t>
  </si>
  <si>
    <t>Piso salarial da categoria:</t>
  </si>
  <si>
    <t>Número de meses de execução contratual:</t>
  </si>
  <si>
    <t>Unidade de medida:</t>
  </si>
  <si>
    <t>RIO DE JANEIRO                          8,8 horas diárias</t>
  </si>
  <si>
    <t>Metro quadrado</t>
  </si>
  <si>
    <t xml:space="preserve">Adicional Liderança de Equipe - Cláusula 16 da CCT </t>
  </si>
  <si>
    <t>Áreas Internas</t>
  </si>
  <si>
    <t>Pisos frios</t>
  </si>
  <si>
    <t>Almoxarifados/galpões</t>
  </si>
  <si>
    <t>Áreas com espaços livres – Saguão, hall e salão</t>
  </si>
  <si>
    <t>Banheiros Privados</t>
  </si>
  <si>
    <t>Banheiros Públicos</t>
  </si>
  <si>
    <t>Áreas Externas</t>
  </si>
  <si>
    <t>Pisos pavimentados adjacentes/contíguos às edificações</t>
  </si>
  <si>
    <t>Varrição de passeios e arruamentos</t>
  </si>
  <si>
    <t>Coleta de detritos em pátios e áreas verdes com frequência diária</t>
  </si>
  <si>
    <t>Esquadrias Internas e Esquadrias Externas sem exposição à risco</t>
  </si>
  <si>
    <t>DRF-RJ1</t>
  </si>
  <si>
    <t>DRF-RJ2</t>
  </si>
  <si>
    <t>CAC TIJUCA</t>
  </si>
  <si>
    <t>CAC IPANEMA</t>
  </si>
  <si>
    <t>ARQUIVO PENHA</t>
  </si>
  <si>
    <t>ALF-GIG</t>
  </si>
  <si>
    <t>ALF-RJO</t>
  </si>
  <si>
    <t>SRRF07</t>
  </si>
  <si>
    <t>ARQUIVO AV. VENEZUELA</t>
  </si>
  <si>
    <t>DEMAC</t>
  </si>
  <si>
    <t>Tipos de Área</t>
  </si>
  <si>
    <t>Pátios e áreas verdes – alta, média ou baixa frequência</t>
  </si>
  <si>
    <t>Quantidade Total de Serventes</t>
  </si>
  <si>
    <t>CAC LARANJEIRAS</t>
  </si>
  <si>
    <t>Soma da Quantidade de Serventes</t>
  </si>
  <si>
    <t>CAC Tijuca</t>
  </si>
  <si>
    <t>CAC Laranjeiras</t>
  </si>
  <si>
    <t>CAC Ipanema</t>
  </si>
  <si>
    <t>Arquivo Penha</t>
  </si>
  <si>
    <t>Quantidade de Profissionais</t>
  </si>
  <si>
    <t>CAC Campo Grande</t>
  </si>
  <si>
    <t>CAC Madureira</t>
  </si>
  <si>
    <t>CAC Meier</t>
  </si>
  <si>
    <t>Arquivo Av. Venezuela</t>
  </si>
  <si>
    <t>Demac</t>
  </si>
  <si>
    <t xml:space="preserve">PREÇO ESTIMADO DO PROFISSIONAL POR M2 POR ÁREA 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</si>
  <si>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</si>
  <si>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</si>
  <si>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</si>
  <si>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</si>
  <si>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</si>
  <si>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ÁREA  (m²)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</si>
  <si>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</si>
  <si>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</si>
  <si>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</si>
  <si>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</si>
  <si>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</si>
  <si>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</si>
  <si>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</si>
  <si>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</si>
  <si>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</si>
  <si>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</si>
  <si>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</si>
  <si>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</si>
  <si>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</si>
  <si>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</si>
  <si>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</si>
  <si>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</si>
  <si>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</si>
  <si>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</si>
  <si>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</si>
  <si>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</si>
  <si>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r>
      <t xml:space="preserve">Aviso Prévio Trabalhado </t>
    </r>
    <r>
      <rPr>
        <sz val="9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71).</t>
    </r>
  </si>
  <si>
    <r>
      <t xml:space="preserve">Percentual De Dispensas Sem Justa Causa Com Aviso Prévio Indenizado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64)</t>
    </r>
    <r>
      <rPr>
        <sz val="9"/>
        <color rgb="FF000000"/>
        <rFont val="Arial"/>
        <family val="2"/>
      </rPr>
      <t>.</t>
    </r>
  </si>
  <si>
    <t>Ausência justificada</t>
  </si>
  <si>
    <t>Incidência percentual anual</t>
  </si>
  <si>
    <t>Duração Legal da Ausência</t>
  </si>
  <si>
    <t>Proporção de dias afetados</t>
  </si>
  <si>
    <t>Dias de reposição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</si>
  <si>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</si>
  <si>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</si>
  <si>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</si>
  <si>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</si>
  <si>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</si>
  <si>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</si>
  <si>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</si>
  <si>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</si>
  <si>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</si>
  <si>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</si>
  <si>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</si>
  <si>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</si>
  <si>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</si>
  <si>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Outros, se houver (Especificar)</t>
  </si>
  <si>
    <t xml:space="preserve">M </t>
  </si>
  <si>
    <t>N</t>
  </si>
  <si>
    <t>O</t>
  </si>
  <si>
    <t>Total de tributos</t>
  </si>
  <si>
    <t>VALOR MENSAL TOTAL POR EMPREGADO</t>
  </si>
  <si>
    <t>Outros Tributos Federais (especificar)</t>
  </si>
  <si>
    <t>Outros Tributos (especificar)</t>
  </si>
  <si>
    <t>Total de Alíquotas de Tributos - Rio de Janeiro</t>
  </si>
  <si>
    <t>Preço Homem-Mês</t>
  </si>
  <si>
    <t>Preço Homem-Mês/m2</t>
  </si>
  <si>
    <r>
      <t xml:space="preserve">RIO DE JANEIRO                           </t>
    </r>
    <r>
      <rPr>
        <b/>
        <sz val="10"/>
        <color rgb="FFFF0000"/>
        <rFont val="Arial"/>
        <family val="2"/>
      </rPr>
      <t>Não residente</t>
    </r>
  </si>
  <si>
    <t>5143-05</t>
  </si>
  <si>
    <t>Adicional de Periculosidade (30% do Salário Base - art. 193 CLT)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</si>
  <si>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</si>
  <si>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</si>
  <si>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</si>
  <si>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</si>
  <si>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 - Impostos</t>
  </si>
  <si>
    <t>DADOS REFERENTES A TAXA DE ADMINISTRAÇÃO CENTRAL E DESPESAS</t>
  </si>
  <si>
    <t>Preço Mensal Estimado do m2</t>
  </si>
  <si>
    <t>Àrea em m2</t>
  </si>
  <si>
    <t>Subtotal Mensal por Área</t>
  </si>
  <si>
    <t>VALOR TOTAL MENSAL DA ÁREA INTERNA</t>
  </si>
  <si>
    <t>VALOR TOTAL MENSAL DAS ESQUADRIAS INTERNAS E EXTERNAS SEM RISCO</t>
  </si>
  <si>
    <t>VALOR TOTAL MENSAL DA ÁREA EXTERNA</t>
  </si>
  <si>
    <t>DADOS REFERENTES AOS SERVIÇOS EVENTUAIS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</si>
  <si>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</si>
  <si>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</si>
  <si>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</si>
  <si>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</si>
  <si>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</si>
  <si>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</si>
  <si>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</si>
  <si>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</si>
  <si>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</si>
  <si>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</si>
  <si>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</si>
  <si>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</si>
  <si>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</si>
  <si>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</si>
  <si>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</si>
  <si>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</si>
  <si>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</si>
  <si>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</si>
  <si>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</si>
  <si>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</si>
  <si>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</si>
  <si>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</si>
  <si>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</si>
  <si>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</si>
  <si>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</si>
  <si>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</si>
  <si>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</si>
  <si>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</si>
  <si>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</si>
  <si>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</si>
  <si>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</si>
  <si>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</si>
  <si>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</si>
  <si>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</si>
  <si>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</si>
  <si>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</si>
  <si>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Insumos e Material</t>
  </si>
  <si>
    <t>INSTRUÇÕES PARA PREENCHIMENTO DA PLANILHAS</t>
  </si>
  <si>
    <t>Dia 22/11/2024  às ____:_____ horas</t>
  </si>
  <si>
    <t>PRODUTIVIDADE DE REFERÊNCIA</t>
  </si>
  <si>
    <t>NOVA Produtividade de Referência (m²) para 30 HORAS</t>
  </si>
  <si>
    <t>30 HORAS</t>
  </si>
  <si>
    <t>40 HORAS</t>
  </si>
  <si>
    <t>Quantidade de Profissionais - NOVA PRODUTIVIDADE DE REFERÊNCIA</t>
  </si>
  <si>
    <t>Quantidade de Profissionais - PRODUTIVIDADE Portaria RFB</t>
  </si>
  <si>
    <t>Banheiros Coletivos</t>
  </si>
  <si>
    <t>ARQ AV. VENEZUELA</t>
  </si>
  <si>
    <t>1° de março</t>
  </si>
  <si>
    <t>VALOR UNITÁRIO DO SERVIÇO (R$)</t>
  </si>
  <si>
    <t>Sapato/tênis de segurança apropriado para faxina e limpeza, preto, com palmilha antibacteriana</t>
  </si>
  <si>
    <t>Crachá de Identificação com cordão personalizado</t>
  </si>
  <si>
    <t>Alistamento Eleitoral</t>
  </si>
  <si>
    <t>M</t>
  </si>
  <si>
    <t>P</t>
  </si>
  <si>
    <t>QUADRO RESUMO - LIMPEZA</t>
  </si>
  <si>
    <t>SERVIÇO DE LIMPEZA E CONSERVAÇÃO COM DEDICAÇÃO EXCLUSIVA DE MÃO DE OBRA</t>
  </si>
  <si>
    <t>VALOR ESTIMADO MENSAL DA UNIDADE</t>
  </si>
  <si>
    <t>GRUPO 2</t>
  </si>
  <si>
    <t>ARQ. VENEZUELA</t>
  </si>
  <si>
    <t>Acréscimo Mensal do Líder de Turma</t>
  </si>
  <si>
    <t>VALOR ESTIMADO MENSAL DO PRÉDIO</t>
  </si>
  <si>
    <t>ITEM 7</t>
  </si>
  <si>
    <t>VALOR TOTAL MENSAL DO SERVIÇO DE LIMPEZA (ITEM 7)</t>
  </si>
  <si>
    <t>lata de 360 ml</t>
  </si>
  <si>
    <t>Pacote com 2.000 fls</t>
  </si>
  <si>
    <t>frasco de 500 ml</t>
  </si>
  <si>
    <t>lata de 200 ml</t>
  </si>
  <si>
    <t>frasco de 400 ml</t>
  </si>
  <si>
    <t>Estopa</t>
  </si>
  <si>
    <t>QUANTIDADE TOTAL DE EMPREGADOS</t>
  </si>
  <si>
    <t>EQUIPAMENTOS</t>
  </si>
  <si>
    <t>QUANTIDADE A SER FORNECIDA</t>
  </si>
  <si>
    <t>VALOR MENSAL A SER DEPRECIADO</t>
  </si>
  <si>
    <t>VALOR TOTAL MENSAL A SER DEPRECIADO</t>
  </si>
  <si>
    <t>Equipamentos</t>
  </si>
  <si>
    <t>por mês</t>
  </si>
  <si>
    <t>Servente</t>
  </si>
  <si>
    <t>Jaqueta Forrada para Inverno, com emblema da empresa</t>
  </si>
  <si>
    <t>Bata de limpeza, com emblema da empresa</t>
  </si>
  <si>
    <t>10707.720194-2025-26</t>
  </si>
  <si>
    <t>Face externa SEM exposição à situação de risco</t>
  </si>
  <si>
    <t>Face interna SEM exposição à situação de risco</t>
  </si>
  <si>
    <t>Esquadrias Externas sem exposição à risco</t>
  </si>
  <si>
    <t>Face EXTERNA SEM exposição à situação de risco</t>
  </si>
  <si>
    <t>Face INTERNA SEM exposição à situação de risco</t>
  </si>
  <si>
    <t>VALOR TOTAL NO PERÍODO CONTRATUAL (R$)</t>
  </si>
  <si>
    <t>Duração Legal da Ausência no período contratual</t>
  </si>
  <si>
    <t>Período Contratual (meses):</t>
  </si>
  <si>
    <t>VALOR ESTIMADO PARA O PERÍODO CONTRATUAL POR PRÉDIO</t>
  </si>
  <si>
    <t>VALOR ESTIMADO PARA O PERÍODO CONTRATUAL DA UNIDADE</t>
  </si>
  <si>
    <t>VALOR ESTIMADO PARA O PERÍODO CONTRATUAL DO ITEM 7</t>
  </si>
  <si>
    <t>QUANTIDADE MÁXIMA DO SERVIÇO NO PERÍODO CONTRATUAL</t>
  </si>
  <si>
    <t>VALOR TOTAL PARA TODO O PERÍODO CONTRATUAL</t>
  </si>
  <si>
    <t>PREÇO UNITÁRIO PROPOSTO PARA O SERVIÇO</t>
  </si>
  <si>
    <t>PREÇO DO M² DO SERVIÇO ANTES DA TAXA DE ADMINISTRAÇÃO CENTRAL E DESPESAS</t>
  </si>
  <si>
    <t>PREÇO UNITÁRIO DO SERVIÇO COM A TAXA DE ADMINISTRAÇÃO</t>
  </si>
  <si>
    <t>QUANTIDADE MÁXIMA DE SERVIÇO NO PERÍODO CONTRATUAL</t>
  </si>
  <si>
    <t>ÁREA</t>
  </si>
  <si>
    <t>VALOR ESTIMADO TOTAL PARA O PERÍODO CONTRATUAL DO ITEM</t>
  </si>
  <si>
    <t>SERVIÇOS EVENTUAIS DE PODA, CAPINA E ROÇADA</t>
  </si>
  <si>
    <t>VALOR TOTAL DOS SERVIÇOS EVENTUAIS PARA O PERÍODO CONTRATUAL</t>
  </si>
  <si>
    <t>Período Contratual (em meses)</t>
  </si>
  <si>
    <t>Valor da Tarifa 1</t>
  </si>
  <si>
    <t>Valor da Tarifa 2</t>
  </si>
  <si>
    <t>Dia __/__/2025  às ____:_____ horas</t>
  </si>
  <si>
    <t>RJ001061/2025</t>
  </si>
  <si>
    <t>DESCRIÇÃO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</si>
  <si>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</si>
  <si>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</si>
  <si>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</si>
  <si>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</si>
  <si>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</si>
  <si>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</si>
  <si>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</si>
  <si>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</si>
  <si>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</si>
  <si>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</si>
  <si>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</si>
  <si>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</si>
  <si>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</si>
  <si>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</si>
  <si>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</si>
  <si>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</si>
  <si>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</si>
  <si>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</si>
  <si>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</si>
  <si>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</si>
  <si>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</si>
  <si>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</si>
  <si>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</si>
  <si>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</si>
  <si>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</si>
  <si>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</si>
  <si>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</si>
  <si>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</si>
  <si>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</si>
  <si>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</si>
  <si>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</si>
  <si>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</si>
  <si>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</si>
  <si>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</si>
  <si>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</si>
  <si>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</si>
  <si>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</si>
  <si>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</si>
  <si>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</si>
  <si>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</si>
  <si>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</si>
  <si>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</si>
  <si>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</si>
  <si>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</si>
  <si>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</si>
  <si>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</si>
  <si>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</si>
  <si>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</si>
  <si>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</si>
  <si>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</si>
  <si>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</si>
  <si>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</si>
  <si>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</si>
  <si>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</si>
  <si>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</si>
  <si>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</si>
  <si>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Álcool para limpeza 46%</t>
  </si>
  <si>
    <t>Álcool Gel anti-séptico 70%</t>
  </si>
  <si>
    <t>Balde de plástico polipropileno de 10 Litros com alça plástica anatômica</t>
  </si>
  <si>
    <t>Cera Líquida Incolor para Piso</t>
  </si>
  <si>
    <t>Desentupidor de Pia</t>
  </si>
  <si>
    <t>Desentupidor de Vaso Sanitário, cabo longo</t>
  </si>
  <si>
    <t>Desinfetante de Uso Geral Concentrado</t>
  </si>
  <si>
    <t>Desodorizador/Aromatizador de ar em spray</t>
  </si>
  <si>
    <t>Detergente Concentrado para Limpeza Geral</t>
  </si>
  <si>
    <t>Detergente Neutro Líquido</t>
  </si>
  <si>
    <t>Disco para Enceradeira 350mm – cor verde/preta</t>
  </si>
  <si>
    <t>Escova de Cerdas para Enceradeira</t>
  </si>
  <si>
    <t>Escova de Mão para Tanque, cerda de nylon e base de madeira (escova de limpeza geral)</t>
  </si>
  <si>
    <t>Escova para vaso sanitário com suporte</t>
  </si>
  <si>
    <t>Espanador de Pó</t>
  </si>
  <si>
    <t>Espanador de Teto</t>
  </si>
  <si>
    <t>Esponja de Lã de Aço</t>
  </si>
  <si>
    <t>Esponja Multiuso Dupla Face</t>
  </si>
  <si>
    <t>Extensão de Alumínio até 6 m para Limpeza de Vidros</t>
  </si>
  <si>
    <t>Gel Sanitário Adesivo</t>
  </si>
  <si>
    <t>Inseticida Aerossol Inodoro, à base d'água, elimina mosquito da zika e da dengue</t>
  </si>
  <si>
    <t>Limpa Inox para Elevador</t>
  </si>
  <si>
    <t>Limpa Vidros Concentrado</t>
  </si>
  <si>
    <t>Limpador Multiuso (para limpeza de móveis e equipamentos em geral)</t>
  </si>
  <si>
    <t>Lustra Móveis</t>
  </si>
  <si>
    <t>Luva de Látex Natural Forrada</t>
  </si>
  <si>
    <t>Pá Coletora Articulada, com cabo longo</t>
  </si>
  <si>
    <t>Pano de Limpeza tipo Saco, duplo, lavado e alvejado, forte, grosso, com alta absorção, 100 % algodão, de 1 ª qualidade. Medidas: mínimo de 42 cm x 65 cm.</t>
  </si>
  <si>
    <t>Pano de Prato Liso branco, com alta absorção, 100% algodão, de 1ª qualidade. Medidas: mínimo de 40 cm x 60 cm.</t>
  </si>
  <si>
    <t>Pano Multiuso 28cm x 50cm x 300</t>
  </si>
  <si>
    <t>Papel Higiênico Branco, folha dupla, rolo normal de 10cm x 30m, de alta qualidade e absorção</t>
  </si>
  <si>
    <t>Papel higienico rolo grande 10cm x 200m (100% celulose virgem)</t>
  </si>
  <si>
    <t>Papel Toalha Interfolha 20 x 20cm (100% celulose virgem)</t>
  </si>
  <si>
    <t>Polidor de Metais</t>
  </si>
  <si>
    <t>Limpador para Aço Inoxidável</t>
  </si>
  <si>
    <t>Refil para MOP</t>
  </si>
  <si>
    <t>Rodinho para Pia</t>
  </si>
  <si>
    <t>Rodo com Duas Borrachas 40 cm com cabo, para limpeza geral</t>
  </si>
  <si>
    <t>Rodo Específico para Limpeza de Vidros, medida mínima 40cm</t>
  </si>
  <si>
    <t>Sabonete Líquido</t>
  </si>
  <si>
    <t>Vaselina para Limpeza de Elevadores</t>
  </si>
  <si>
    <t>Vassoura de Gari</t>
  </si>
  <si>
    <t>Vassoura de Nylon - 30CM</t>
  </si>
  <si>
    <t>Vassoura de Pelo</t>
  </si>
  <si>
    <t>Vassoura de Piaçava com cabo</t>
  </si>
  <si>
    <t>embalagem com 6 unidades + aplicador</t>
  </si>
  <si>
    <t>500ml</t>
  </si>
  <si>
    <t>rolo com 600 panos</t>
  </si>
  <si>
    <t>frasco de 300 ml</t>
  </si>
  <si>
    <t>fardo com 100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</si>
  <si>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</si>
  <si>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</si>
  <si>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</si>
  <si>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</si>
  <si>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</si>
  <si>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</si>
  <si>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</si>
  <si>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</si>
  <si>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</si>
  <si>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</si>
  <si>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</si>
  <si>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</si>
  <si>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</si>
  <si>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</si>
  <si>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</si>
  <si>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</si>
  <si>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</si>
  <si>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</si>
  <si>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</si>
  <si>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</si>
  <si>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</si>
  <si>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</si>
  <si>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</si>
  <si>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</si>
  <si>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</si>
  <si>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</si>
  <si>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</si>
  <si>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</si>
  <si>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</si>
  <si>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</si>
  <si>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</si>
  <si>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2 conduções de ida e 2 conduções de volta, devido à realidade do transporte público verificada no município do Rio de Janeiro. Esta quantidade deve ser mantida, privilegiando que se mantenha a isonomia nas propostas.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</si>
  <si>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</si>
  <si>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</si>
  <si>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</si>
  <si>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</si>
  <si>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r>
      <t xml:space="preserve">PREÇO DO M² DO SERVIÇO APÓS A TAXA DE ADMINISTRAÇÃO </t>
    </r>
    <r>
      <rPr>
        <b/>
        <sz val="12"/>
        <color theme="7" tint="0.39997558519241921"/>
        <rFont val="Candara"/>
        <family val="2"/>
      </rPr>
      <t>(é este o valor que a empresa deverá lançar no sistema como valor unitário)</t>
    </r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</si>
  <si>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</si>
  <si>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</si>
  <si>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</si>
  <si>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</si>
  <si>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t xml:space="preserve">RIO DE JANEIRO - LÍDER DE TURMA                       </t>
    </r>
    <r>
      <rPr>
        <b/>
        <sz val="10"/>
        <color theme="1" tint="4.9989318521683403E-2"/>
        <rFont val="Candara"/>
        <family val="2"/>
      </rPr>
      <t>8,8 horas diárias</t>
    </r>
  </si>
  <si>
    <r>
      <t xml:space="preserve">Adicional de Insalubridade 40% do Salário Base  </t>
    </r>
    <r>
      <rPr>
        <sz val="10"/>
        <color rgb="FFFF0000"/>
        <rFont val="Candara"/>
        <family val="2"/>
      </rPr>
      <t>(Portaria RFB 1502/2021 c/c art.192 CLT)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</si>
  <si>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64)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</si>
  <si>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66).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</si>
  <si>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</si>
  <si>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t xml:space="preserve">RIO DE JANEIRO                           </t>
    </r>
    <r>
      <rPr>
        <b/>
        <sz val="10"/>
        <color rgb="FFFF0000"/>
        <rFont val="Candara"/>
        <family val="2"/>
      </rPr>
      <t>6 horas diárias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</si>
  <si>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62)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</si>
  <si>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64).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</si>
  <si>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</si>
  <si>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</si>
  <si>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</si>
  <si>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</si>
  <si>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t>VALOR MENSAL DE EQUIPAMENTOS POR EMPREGADO</t>
  </si>
  <si>
    <t>OUTROS TRIBUTOS FEDERAIS</t>
  </si>
  <si>
    <t>OUTROS TRIBUTOS</t>
  </si>
  <si>
    <r>
      <t xml:space="preserve">RIO DE JANEIRO                     </t>
    </r>
    <r>
      <rPr>
        <b/>
        <sz val="10"/>
        <color rgb="FFFF0000"/>
        <rFont val="Candara"/>
        <family val="2"/>
      </rPr>
      <t>6 horas diárias</t>
    </r>
  </si>
  <si>
    <t>RIO DE JANEIRO               8,8 horas diárias</t>
  </si>
  <si>
    <t xml:space="preserve">C </t>
  </si>
  <si>
    <r>
      <t xml:space="preserve">RIO DE JANEIRO                    </t>
    </r>
    <r>
      <rPr>
        <b/>
        <sz val="10"/>
        <color rgb="FFFF0000"/>
        <rFont val="Candara"/>
        <family val="2"/>
      </rPr>
      <t>6 horas diárias</t>
    </r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</si>
  <si>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</si>
  <si>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</si>
  <si>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</si>
  <si>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</si>
  <si>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</si>
  <si>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</si>
  <si>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</si>
  <si>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</si>
  <si>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</si>
  <si>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</si>
  <si>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</si>
  <si>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</si>
  <si>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t>Dia __/__/2025  às ____:_____ horass</t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</si>
  <si>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</si>
  <si>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</si>
  <si>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</si>
  <si>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</si>
  <si>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</si>
  <si>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</si>
  <si>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</si>
  <si>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</si>
  <si>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</si>
  <si>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</si>
  <si>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Lixeira de 100 (cem) litros, ultra reforçado – cor padrão para reciclagem de resíduos.</t>
  </si>
  <si>
    <t>M57</t>
  </si>
  <si>
    <t>Saco Plástico para Fragmentadora de 200 (duzentos) litros, super-resistente</t>
  </si>
  <si>
    <t>M58</t>
  </si>
  <si>
    <t>M59</t>
  </si>
  <si>
    <t>M60</t>
  </si>
  <si>
    <t>M61</t>
  </si>
  <si>
    <t>M62</t>
  </si>
  <si>
    <t>M63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</si>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</sst>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 &quot;#,##0.00;[Red]&quot;-R$ &quot;#,##0.00"/>
    <numFmt numFmtId="166" formatCode="&quot;R$&quot;\ #,##0.00"/>
    <numFmt numFmtId="167" formatCode="&quot;R$ &quot;#,##0.00"/>
    <numFmt numFmtId="168" formatCode="0.000%"/>
    <numFmt numFmtId="169" formatCode="&quot; R$ &quot;* #,##0.00\ ;&quot;-R$ &quot;* #,##0.00\ ;&quot; R$ &quot;* \-#\ ;@\ "/>
    <numFmt numFmtId="170" formatCode="#,##0.0000"/>
    <numFmt numFmtId="171" formatCode="#,##0_ ;\-#,##0\ "/>
    <numFmt numFmtId="172" formatCode="_-* #,##0_-;\-* #,##0_-;_-* &quot;-&quot;??_-;_-@_-"/>
    <numFmt numFmtId="173" formatCode="#,##0.00000"/>
  </numFmts>
  <fonts count="69"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0"/>
      <color theme="1" tint="4.9989318521683403E-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2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sz val="9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b/>
      <sz val="12"/>
      <color rgb="FF000000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0"/>
      <color theme="1"/>
      <name val="Candara"/>
      <family val="2"/>
    </font>
    <font>
      <sz val="11"/>
      <color theme="1"/>
      <name val="Candara"/>
      <family val="2"/>
    </font>
    <font>
      <sz val="12"/>
      <color theme="1"/>
      <name val="Candara"/>
      <family val="2"/>
    </font>
    <font>
      <b/>
      <sz val="12"/>
      <color theme="1"/>
      <name val="Candara"/>
      <family val="2"/>
    </font>
    <font>
      <b/>
      <sz val="11"/>
      <color theme="1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rgb="FF000000"/>
      <name val="Candara"/>
      <family val="2"/>
    </font>
    <font>
      <sz val="10"/>
      <name val="Candara"/>
      <family val="2"/>
    </font>
    <font>
      <sz val="9"/>
      <color rgb="FFFF0000"/>
      <name val="Candara"/>
      <family val="2"/>
    </font>
    <font>
      <sz val="8"/>
      <color theme="1"/>
      <name val="Candara"/>
      <family val="2"/>
    </font>
    <font>
      <sz val="12"/>
      <color rgb="FF000000"/>
      <name val="Candara"/>
      <family val="2"/>
    </font>
    <font>
      <b/>
      <sz val="12"/>
      <color theme="0"/>
      <name val="Candara"/>
      <family val="2"/>
    </font>
    <font>
      <b/>
      <sz val="12"/>
      <color theme="7" tint="0.39997558519241921"/>
      <name val="Candara"/>
      <family val="2"/>
    </font>
    <font>
      <b/>
      <sz val="10"/>
      <name val="Candara"/>
      <family val="2"/>
    </font>
    <font>
      <b/>
      <sz val="14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b/>
      <sz val="10"/>
      <color theme="1" tint="4.9989318521683403E-2"/>
      <name val="Candara"/>
      <family val="2"/>
    </font>
    <font>
      <sz val="10"/>
      <color theme="1" tint="4.9989318521683403E-2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2"/>
      <color theme="1" tint="4.9989318521683403E-2"/>
      <name val="Candara"/>
      <family val="2"/>
    </font>
    <font>
      <b/>
      <sz val="14"/>
      <color rgb="FFFFFFFF"/>
      <name val="Candara"/>
      <family val="2"/>
    </font>
    <font>
      <b/>
      <sz val="10"/>
      <color rgb="FF0D0D0D"/>
      <name val="Candara"/>
      <family val="2"/>
    </font>
    <font>
      <b/>
      <sz val="10"/>
      <color rgb="FF0000FF"/>
      <name val="Candara"/>
      <family val="2"/>
    </font>
    <font>
      <b/>
      <sz val="14"/>
      <color theme="0"/>
      <name val="Candara"/>
      <family val="2"/>
    </font>
    <font>
      <sz val="9"/>
      <color indexed="81"/>
      <name val="Segoe UI"/>
    </font>
    <font>
      <b/>
      <sz val="9"/>
      <color indexed="81"/>
      <name val="Segoe UI"/>
    </font>
  </fonts>
  <fills count="62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808080"/>
        <bgColor rgb="FF666666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D8E9CD"/>
        <bgColor rgb="FFD8E9CD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rgb="FFC694E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rgb="FF0000FF"/>
      </patternFill>
    </fill>
    <fill>
      <patternFill patternType="solid">
        <fgColor theme="9" tint="0.79998168889431442"/>
        <bgColor rgb="FF2F5597"/>
      </patternFill>
    </fill>
    <fill>
      <patternFill patternType="solid">
        <fgColor rgb="FF00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4" tint="0.39997558519241921"/>
        <bgColor rgb="FFBF9000"/>
      </patternFill>
    </fill>
    <fill>
      <patternFill patternType="solid">
        <fgColor rgb="FFFFCCCC"/>
        <bgColor rgb="FFBF9000"/>
      </patternFill>
    </fill>
    <fill>
      <patternFill patternType="solid">
        <fgColor rgb="FF66FFCC"/>
        <bgColor rgb="FFBF9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C66"/>
        <bgColor rgb="FFBF9000"/>
      </patternFill>
    </fill>
    <fill>
      <patternFill patternType="solid">
        <fgColor rgb="FF9E89A9"/>
        <bgColor rgb="FFBF9000"/>
      </patternFill>
    </fill>
    <fill>
      <patternFill patternType="solid">
        <fgColor rgb="FFF73BAF"/>
        <bgColor rgb="FFBF900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33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EAD6E2"/>
      </patternFill>
    </fill>
    <fill>
      <patternFill patternType="solid">
        <fgColor rgb="FF002060"/>
        <bgColor rgb="FF333F50"/>
      </patternFill>
    </fill>
    <fill>
      <patternFill patternType="solid">
        <fgColor rgb="FF002060"/>
        <bgColor rgb="FF0000FF"/>
      </patternFill>
    </fill>
    <fill>
      <patternFill patternType="solid">
        <fgColor theme="2" tint="-0.249977111117893"/>
        <bgColor rgb="FFE2F0D9"/>
      </patternFill>
    </fill>
    <fill>
      <patternFill patternType="solid">
        <fgColor theme="2" tint="-0.249977111117893"/>
        <bgColor rgb="FFD8E9CD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0066"/>
        <bgColor rgb="FFEAD6E2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  <fill>
      <patternFill patternType="solid">
        <fgColor theme="4" tint="0.79998168889431442"/>
        <bgColor rgb="FFC694E4"/>
      </patternFill>
    </fill>
  </fills>
  <borders count="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44" fontId="17" fillId="0" borderId="0" applyFont="0" applyFill="0" applyBorder="0" applyAlignment="0" applyProtection="0"/>
    <xf numFmtId="0" fontId="32" fillId="0" borderId="0"/>
    <xf numFmtId="43" fontId="17" fillId="0" borderId="0" applyFont="0" applyFill="0" applyBorder="0" applyAlignment="0" applyProtection="0"/>
  </cellStyleXfs>
  <cellXfs count="1321">
    <xf numFmtId="0" fontId="0" fillId="0" borderId="0" xfId="0"/>
    <xf numFmtId="10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3" borderId="0" xfId="0" applyFill="1"/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/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3" fillId="12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13" fillId="1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/>
    </xf>
    <xf numFmtId="0" fontId="13" fillId="12" borderId="1" xfId="0" applyFont="1" applyFill="1" applyBorder="1" applyAlignment="1">
      <alignment horizontal="center" vertical="center"/>
    </xf>
    <xf numFmtId="0" fontId="0" fillId="0" borderId="0" xfId="0" applyFill="1"/>
    <xf numFmtId="0" fontId="2" fillId="5" borderId="3" xfId="0" applyFont="1" applyFill="1" applyBorder="1" applyAlignment="1"/>
    <xf numFmtId="0" fontId="0" fillId="0" borderId="0" xfId="0" applyFill="1" applyBorder="1"/>
    <xf numFmtId="167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0" fontId="14" fillId="13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166" fontId="13" fillId="12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vertical="center"/>
    </xf>
    <xf numFmtId="166" fontId="2" fillId="1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/>
    <xf numFmtId="0" fontId="6" fillId="0" borderId="0" xfId="0" applyFont="1" applyBorder="1"/>
    <xf numFmtId="167" fontId="2" fillId="0" borderId="1" xfId="0" applyNumberFormat="1" applyFont="1" applyBorder="1" applyAlignment="1">
      <alignment horizontal="center" vertical="center"/>
    </xf>
    <xf numFmtId="166" fontId="3" fillId="6" borderId="1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/>
    <xf numFmtId="0" fontId="19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0" fillId="19" borderId="1" xfId="0" applyFont="1" applyFill="1" applyBorder="1" applyAlignment="1">
      <alignment horizontal="center" vertical="center"/>
    </xf>
    <xf numFmtId="0" fontId="20" fillId="19" borderId="2" xfId="0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14" borderId="2" xfId="0" applyNumberFormat="1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vertical="center"/>
    </xf>
    <xf numFmtId="0" fontId="2" fillId="14" borderId="33" xfId="0" applyFont="1" applyFill="1" applyBorder="1" applyAlignment="1">
      <alignment vertical="center"/>
    </xf>
    <xf numFmtId="0" fontId="20" fillId="19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168" fontId="2" fillId="0" borderId="2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0" fontId="4" fillId="11" borderId="1" xfId="0" applyNumberFormat="1" applyFont="1" applyFill="1" applyBorder="1" applyAlignment="1">
      <alignment horizontal="center" vertical="center"/>
    </xf>
    <xf numFmtId="166" fontId="4" fillId="11" borderId="1" xfId="0" applyNumberFormat="1" applyFont="1" applyFill="1" applyBorder="1" applyAlignment="1">
      <alignment horizontal="center" vertical="center"/>
    </xf>
    <xf numFmtId="10" fontId="4" fillId="11" borderId="18" xfId="0" applyNumberFormat="1" applyFont="1" applyFill="1" applyBorder="1" applyAlignment="1">
      <alignment horizontal="center" vertical="center"/>
    </xf>
    <xf numFmtId="166" fontId="4" fillId="11" borderId="18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0" fontId="5" fillId="10" borderId="2" xfId="0" applyNumberFormat="1" applyFont="1" applyFill="1" applyBorder="1" applyAlignment="1">
      <alignment horizontal="center" vertical="center"/>
    </xf>
    <xf numFmtId="167" fontId="4" fillId="11" borderId="1" xfId="0" applyNumberFormat="1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" fillId="0" borderId="0" xfId="0" applyFont="1"/>
    <xf numFmtId="169" fontId="21" fillId="0" borderId="1" xfId="0" applyNumberFormat="1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center" vertical="center"/>
    </xf>
    <xf numFmtId="10" fontId="25" fillId="0" borderId="0" xfId="0" applyNumberFormat="1" applyFont="1"/>
    <xf numFmtId="166" fontId="7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/>
    </xf>
    <xf numFmtId="0" fontId="2" fillId="24" borderId="3" xfId="0" applyFont="1" applyFill="1" applyBorder="1"/>
    <xf numFmtId="0" fontId="2" fillId="24" borderId="4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0" fontId="7" fillId="1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2" fillId="14" borderId="3" xfId="0" applyFont="1" applyFill="1" applyBorder="1" applyAlignment="1">
      <alignment vertical="center"/>
    </xf>
    <xf numFmtId="0" fontId="22" fillId="14" borderId="4" xfId="0" applyFont="1" applyFill="1" applyBorder="1" applyAlignment="1">
      <alignment vertical="center"/>
    </xf>
    <xf numFmtId="166" fontId="22" fillId="14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7" fontId="3" fillId="6" borderId="1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6" fontId="16" fillId="0" borderId="1" xfId="0" applyNumberFormat="1" applyFont="1" applyBorder="1" applyAlignment="1">
      <alignment horizontal="center" vertical="center"/>
    </xf>
    <xf numFmtId="166" fontId="20" fillId="6" borderId="6" xfId="0" applyNumberFormat="1" applyFont="1" applyFill="1" applyBorder="1" applyAlignment="1">
      <alignment horizontal="center" vertical="center"/>
    </xf>
    <xf numFmtId="0" fontId="29" fillId="0" borderId="21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166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6" fontId="28" fillId="2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6" fontId="2" fillId="10" borderId="2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" fontId="22" fillId="0" borderId="59" xfId="0" applyNumberFormat="1" applyFont="1" applyBorder="1" applyAlignment="1">
      <alignment horizontal="center"/>
    </xf>
    <xf numFmtId="1" fontId="22" fillId="0" borderId="60" xfId="0" applyNumberFormat="1" applyFont="1" applyBorder="1" applyAlignment="1">
      <alignment horizontal="center"/>
    </xf>
    <xf numFmtId="1" fontId="22" fillId="0" borderId="60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1" fontId="22" fillId="0" borderId="6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66" fontId="7" fillId="0" borderId="18" xfId="0" applyNumberFormat="1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31" fillId="0" borderId="0" xfId="0" applyFont="1"/>
    <xf numFmtId="0" fontId="2" fillId="0" borderId="0" xfId="0" applyFont="1" applyBorder="1"/>
    <xf numFmtId="0" fontId="13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0" fontId="13" fillId="1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vertical="center"/>
    </xf>
    <xf numFmtId="166" fontId="7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9" fillId="44" borderId="0" xfId="0" applyFont="1" applyFill="1" applyBorder="1" applyAlignment="1">
      <alignment horizontal="right" vertical="center"/>
    </xf>
    <xf numFmtId="166" fontId="7" fillId="44" borderId="0" xfId="0" applyNumberFormat="1" applyFont="1" applyFill="1" applyBorder="1" applyAlignment="1">
      <alignment horizontal="center" vertical="center"/>
    </xf>
    <xf numFmtId="0" fontId="0" fillId="45" borderId="0" xfId="0" applyFill="1"/>
    <xf numFmtId="0" fontId="0" fillId="46" borderId="0" xfId="0" applyFill="1"/>
    <xf numFmtId="0" fontId="6" fillId="0" borderId="5" xfId="0" applyFont="1" applyBorder="1"/>
    <xf numFmtId="0" fontId="34" fillId="0" borderId="0" xfId="0" applyFont="1"/>
    <xf numFmtId="0" fontId="37" fillId="0" borderId="0" xfId="0" applyFont="1"/>
    <xf numFmtId="0" fontId="33" fillId="0" borderId="0" xfId="0" applyFont="1" applyFill="1" applyBorder="1" applyAlignment="1">
      <alignment vertical="center"/>
    </xf>
    <xf numFmtId="0" fontId="38" fillId="0" borderId="0" xfId="0" applyFont="1"/>
    <xf numFmtId="0" fontId="34" fillId="0" borderId="0" xfId="0" applyFont="1" applyAlignment="1"/>
    <xf numFmtId="0" fontId="34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41" fillId="23" borderId="9" xfId="0" applyFont="1" applyFill="1" applyBorder="1" applyAlignment="1">
      <alignment vertical="center"/>
    </xf>
    <xf numFmtId="0" fontId="41" fillId="23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0" fontId="37" fillId="0" borderId="0" xfId="0" applyFont="1" applyFill="1" applyBorder="1"/>
    <xf numFmtId="0" fontId="36" fillId="0" borderId="0" xfId="0" applyFont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7" fillId="0" borderId="0" xfId="0" applyFont="1" applyBorder="1"/>
    <xf numFmtId="0" fontId="34" fillId="0" borderId="0" xfId="0" applyFont="1" applyBorder="1" applyAlignment="1">
      <alignment vertical="center"/>
    </xf>
    <xf numFmtId="0" fontId="35" fillId="0" borderId="20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4" fontId="37" fillId="0" borderId="0" xfId="0" applyNumberFormat="1" applyFont="1"/>
    <xf numFmtId="0" fontId="37" fillId="0" borderId="0" xfId="0" applyFont="1" applyFill="1"/>
    <xf numFmtId="0" fontId="35" fillId="0" borderId="1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10" fontId="35" fillId="0" borderId="0" xfId="0" applyNumberFormat="1" applyFont="1" applyFill="1" applyBorder="1" applyAlignment="1">
      <alignment horizontal="center" vertical="center"/>
    </xf>
    <xf numFmtId="10" fontId="35" fillId="0" borderId="2" xfId="0" applyNumberFormat="1" applyFont="1" applyBorder="1" applyAlignment="1">
      <alignment horizontal="center" vertical="center"/>
    </xf>
    <xf numFmtId="10" fontId="36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166" fontId="34" fillId="0" borderId="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9" fontId="34" fillId="0" borderId="1" xfId="0" applyNumberFormat="1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166" fontId="37" fillId="0" borderId="0" xfId="0" applyNumberFormat="1" applyFont="1"/>
    <xf numFmtId="0" fontId="47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166" fontId="38" fillId="0" borderId="0" xfId="0" applyNumberFormat="1" applyFont="1" applyFill="1" applyBorder="1" applyAlignment="1">
      <alignment horizontal="center" vertical="center" wrapText="1"/>
    </xf>
    <xf numFmtId="166" fontId="39" fillId="20" borderId="1" xfId="0" applyNumberFormat="1" applyFont="1" applyFill="1" applyBorder="1" applyAlignment="1">
      <alignment horizontal="center" vertical="center"/>
    </xf>
    <xf numFmtId="166" fontId="38" fillId="0" borderId="0" xfId="0" applyNumberFormat="1" applyFont="1"/>
    <xf numFmtId="0" fontId="38" fillId="0" borderId="0" xfId="0" applyFont="1" applyFill="1"/>
    <xf numFmtId="3" fontId="34" fillId="0" borderId="1" xfId="0" applyNumberFormat="1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5" fillId="30" borderId="49" xfId="0" applyFont="1" applyFill="1" applyBorder="1" applyAlignment="1">
      <alignment horizontal="justify" vertical="center" wrapText="1"/>
    </xf>
    <xf numFmtId="0" fontId="35" fillId="31" borderId="4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46" borderId="49" xfId="0" applyFont="1" applyFill="1" applyBorder="1" applyAlignment="1">
      <alignment horizontal="center" vertical="center"/>
    </xf>
    <xf numFmtId="0" fontId="35" fillId="0" borderId="49" xfId="0" applyFont="1" applyBorder="1" applyAlignment="1">
      <alignment horizontal="justify" vertical="center" wrapText="1"/>
    </xf>
    <xf numFmtId="0" fontId="35" fillId="0" borderId="49" xfId="2" applyFont="1" applyBorder="1" applyAlignment="1">
      <alignment horizontal="justify" vertical="center" wrapText="1"/>
    </xf>
    <xf numFmtId="0" fontId="35" fillId="0" borderId="49" xfId="2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34" fillId="0" borderId="49" xfId="0" applyFont="1" applyBorder="1" applyAlignment="1">
      <alignment vertical="center" wrapText="1"/>
    </xf>
    <xf numFmtId="0" fontId="34" fillId="0" borderId="49" xfId="0" applyFont="1" applyBorder="1" applyAlignment="1">
      <alignment horizontal="left" vertical="center"/>
    </xf>
    <xf numFmtId="0" fontId="44" fillId="0" borderId="49" xfId="0" applyFont="1" applyBorder="1" applyAlignment="1">
      <alignment horizontal="justify" vertical="center" wrapText="1"/>
    </xf>
    <xf numFmtId="0" fontId="44" fillId="0" borderId="49" xfId="0" applyFont="1" applyBorder="1" applyAlignment="1">
      <alignment horizontal="center" vertical="center" wrapText="1"/>
    </xf>
    <xf numFmtId="0" fontId="35" fillId="46" borderId="49" xfId="0" applyFont="1" applyFill="1" applyBorder="1" applyAlignment="1">
      <alignment horizontal="center" vertical="center" wrapText="1"/>
    </xf>
    <xf numFmtId="0" fontId="35" fillId="46" borderId="49" xfId="0" applyFont="1" applyFill="1" applyBorder="1" applyAlignment="1">
      <alignment horizontal="justify" vertical="center" wrapText="1"/>
    </xf>
    <xf numFmtId="0" fontId="34" fillId="0" borderId="75" xfId="0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0" fontId="35" fillId="31" borderId="49" xfId="0" applyFont="1" applyFill="1" applyBorder="1" applyAlignment="1">
      <alignment horizontal="center" vertical="center"/>
    </xf>
    <xf numFmtId="0" fontId="35" fillId="0" borderId="49" xfId="0" applyFont="1" applyBorder="1" applyAlignment="1">
      <alignment vertical="center" wrapText="1"/>
    </xf>
    <xf numFmtId="0" fontId="33" fillId="15" borderId="1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 vertical="center"/>
    </xf>
    <xf numFmtId="0" fontId="33" fillId="40" borderId="1" xfId="0" applyFont="1" applyFill="1" applyBorder="1" applyAlignment="1">
      <alignment horizontal="center" vertical="center"/>
    </xf>
    <xf numFmtId="166" fontId="48" fillId="47" borderId="1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43" fillId="22" borderId="1" xfId="0" applyFont="1" applyFill="1" applyBorder="1" applyAlignment="1">
      <alignment horizontal="center" vertical="center" wrapText="1"/>
    </xf>
    <xf numFmtId="166" fontId="34" fillId="0" borderId="18" xfId="0" applyNumberFormat="1" applyFont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4" fillId="0" borderId="44" xfId="0" applyFont="1" applyBorder="1"/>
    <xf numFmtId="0" fontId="34" fillId="0" borderId="36" xfId="0" applyFont="1" applyBorder="1"/>
    <xf numFmtId="0" fontId="34" fillId="0" borderId="0" xfId="0" applyFont="1" applyBorder="1"/>
    <xf numFmtId="0" fontId="35" fillId="0" borderId="0" xfId="0" applyFont="1"/>
    <xf numFmtId="0" fontId="51" fillId="0" borderId="0" xfId="0" applyFont="1" applyAlignment="1">
      <alignment vertical="center" textRotation="90"/>
    </xf>
    <xf numFmtId="0" fontId="33" fillId="15" borderId="21" xfId="0" applyFont="1" applyFill="1" applyBorder="1" applyAlignment="1">
      <alignment vertical="center"/>
    </xf>
    <xf numFmtId="0" fontId="43" fillId="29" borderId="1" xfId="0" applyFont="1" applyFill="1" applyBorder="1" applyAlignment="1">
      <alignment horizontal="center" vertical="center"/>
    </xf>
    <xf numFmtId="0" fontId="43" fillId="29" borderId="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vertical="center"/>
    </xf>
    <xf numFmtId="0" fontId="33" fillId="16" borderId="6" xfId="0" applyFont="1" applyFill="1" applyBorder="1" applyAlignment="1">
      <alignment vertical="center"/>
    </xf>
    <xf numFmtId="0" fontId="33" fillId="17" borderId="9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38" borderId="1" xfId="0" applyFont="1" applyFill="1" applyBorder="1" applyAlignment="1">
      <alignment horizontal="center" vertical="center" wrapText="1"/>
    </xf>
    <xf numFmtId="0" fontId="42" fillId="38" borderId="6" xfId="0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2" fillId="38" borderId="34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35" fillId="11" borderId="3" xfId="0" applyFont="1" applyFill="1" applyBorder="1" applyAlignment="1">
      <alignment vertical="center" wrapText="1"/>
    </xf>
    <xf numFmtId="0" fontId="35" fillId="11" borderId="4" xfId="0" applyFont="1" applyFill="1" applyBorder="1" applyAlignment="1">
      <alignment vertical="center" wrapText="1"/>
    </xf>
    <xf numFmtId="0" fontId="35" fillId="11" borderId="2" xfId="0" applyFont="1" applyFill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25" borderId="3" xfId="0" applyFont="1" applyFill="1" applyBorder="1" applyAlignment="1">
      <alignment vertical="center" wrapText="1"/>
    </xf>
    <xf numFmtId="0" fontId="35" fillId="25" borderId="5" xfId="0" applyFont="1" applyFill="1" applyBorder="1" applyAlignment="1">
      <alignment vertical="center" wrapText="1"/>
    </xf>
    <xf numFmtId="0" fontId="35" fillId="11" borderId="34" xfId="0" applyFont="1" applyFill="1" applyBorder="1" applyAlignment="1">
      <alignment vertical="center" wrapText="1"/>
    </xf>
    <xf numFmtId="0" fontId="35" fillId="25" borderId="4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53" fillId="0" borderId="6" xfId="0" applyFont="1" applyBorder="1" applyAlignment="1">
      <alignment vertical="center" wrapText="1"/>
    </xf>
    <xf numFmtId="3" fontId="35" fillId="0" borderId="6" xfId="0" applyNumberFormat="1" applyFont="1" applyBorder="1" applyAlignment="1">
      <alignment horizontal="center" vertical="center"/>
    </xf>
    <xf numFmtId="4" fontId="35" fillId="0" borderId="6" xfId="0" applyNumberFormat="1" applyFont="1" applyBorder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/>
    </xf>
    <xf numFmtId="170" fontId="35" fillId="0" borderId="1" xfId="0" applyNumberFormat="1" applyFont="1" applyBorder="1" applyAlignment="1">
      <alignment horizontal="center" vertical="center"/>
    </xf>
    <xf numFmtId="4" fontId="35" fillId="0" borderId="6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170" fontId="35" fillId="0" borderId="0" xfId="0" applyNumberFormat="1" applyFont="1" applyFill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3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center" vertical="center" wrapText="1"/>
    </xf>
    <xf numFmtId="0" fontId="35" fillId="0" borderId="18" xfId="0" applyFont="1" applyBorder="1" applyAlignment="1">
      <alignment vertical="center"/>
    </xf>
    <xf numFmtId="0" fontId="35" fillId="0" borderId="18" xfId="0" applyFont="1" applyBorder="1" applyAlignment="1">
      <alignment horizontal="center" vertical="center"/>
    </xf>
    <xf numFmtId="4" fontId="35" fillId="0" borderId="18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 wrapText="1"/>
    </xf>
    <xf numFmtId="0" fontId="35" fillId="25" borderId="2" xfId="0" applyFont="1" applyFill="1" applyBorder="1" applyAlignment="1">
      <alignment vertical="center" wrapText="1"/>
    </xf>
    <xf numFmtId="0" fontId="35" fillId="25" borderId="3" xfId="0" applyFont="1" applyFill="1" applyBorder="1" applyAlignment="1">
      <alignment vertical="center"/>
    </xf>
    <xf numFmtId="0" fontId="35" fillId="0" borderId="6" xfId="0" applyFont="1" applyBorder="1" applyAlignment="1">
      <alignment vertical="center" wrapText="1"/>
    </xf>
    <xf numFmtId="3" fontId="35" fillId="0" borderId="6" xfId="0" applyNumberFormat="1" applyFont="1" applyBorder="1" applyAlignment="1">
      <alignment horizontal="center" vertical="center" wrapText="1"/>
    </xf>
    <xf numFmtId="3" fontId="35" fillId="0" borderId="0" xfId="0" applyNumberFormat="1" applyFont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0" fontId="35" fillId="11" borderId="1" xfId="0" applyFont="1" applyFill="1" applyBorder="1" applyAlignment="1">
      <alignment vertical="center"/>
    </xf>
    <xf numFmtId="0" fontId="35" fillId="11" borderId="1" xfId="0" applyFont="1" applyFill="1" applyBorder="1" applyAlignment="1">
      <alignment vertical="center" wrapText="1"/>
    </xf>
    <xf numFmtId="0" fontId="35" fillId="25" borderId="33" xfId="0" applyFont="1" applyFill="1" applyBorder="1" applyAlignment="1">
      <alignment vertical="center" wrapText="1"/>
    </xf>
    <xf numFmtId="0" fontId="35" fillId="0" borderId="2" xfId="0" applyFont="1" applyBorder="1" applyAlignment="1">
      <alignment horizontal="left" vertical="center" wrapText="1"/>
    </xf>
    <xf numFmtId="4" fontId="35" fillId="0" borderId="6" xfId="0" applyNumberFormat="1" applyFont="1" applyFill="1" applyBorder="1" applyAlignment="1">
      <alignment horizontal="center" vertical="center" wrapText="1"/>
    </xf>
    <xf numFmtId="170" fontId="35" fillId="0" borderId="6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vertical="center" wrapText="1"/>
    </xf>
    <xf numFmtId="170" fontId="35" fillId="0" borderId="10" xfId="0" applyNumberFormat="1" applyFont="1" applyBorder="1" applyAlignment="1">
      <alignment horizontal="center" vertical="center"/>
    </xf>
    <xf numFmtId="0" fontId="37" fillId="0" borderId="9" xfId="0" applyFont="1" applyBorder="1"/>
    <xf numFmtId="0" fontId="34" fillId="0" borderId="3" xfId="0" applyFont="1" applyBorder="1" applyAlignment="1">
      <alignment horizontal="right" vertical="center"/>
    </xf>
    <xf numFmtId="0" fontId="37" fillId="0" borderId="10" xfId="0" applyFont="1" applyBorder="1"/>
    <xf numFmtId="0" fontId="33" fillId="0" borderId="9" xfId="0" applyFont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170" fontId="42" fillId="38" borderId="2" xfId="0" applyNumberFormat="1" applyFont="1" applyFill="1" applyBorder="1" applyAlignment="1">
      <alignment horizontal="center" vertical="center" wrapText="1"/>
    </xf>
    <xf numFmtId="4" fontId="42" fillId="0" borderId="0" xfId="0" applyNumberFormat="1" applyFont="1" applyFill="1" applyBorder="1" applyAlignment="1">
      <alignment horizontal="center" vertical="center" wrapText="1"/>
    </xf>
    <xf numFmtId="170" fontId="54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textRotation="90"/>
    </xf>
    <xf numFmtId="0" fontId="54" fillId="0" borderId="0" xfId="0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 applyBorder="1" applyAlignment="1">
      <alignment horizontal="center" vertical="center" wrapText="1"/>
    </xf>
    <xf numFmtId="170" fontId="42" fillId="0" borderId="0" xfId="0" applyNumberFormat="1" applyFont="1" applyFill="1" applyBorder="1" applyAlignment="1">
      <alignment horizontal="center" vertical="center" wrapText="1"/>
    </xf>
    <xf numFmtId="3" fontId="42" fillId="0" borderId="0" xfId="0" applyNumberFormat="1" applyFont="1" applyFill="1" applyBorder="1" applyAlignment="1">
      <alignment horizontal="center" vertical="center"/>
    </xf>
    <xf numFmtId="4" fontId="54" fillId="0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Alignment="1">
      <alignment horizontal="center" vertical="center"/>
    </xf>
    <xf numFmtId="0" fontId="33" fillId="33" borderId="21" xfId="0" applyFont="1" applyFill="1" applyBorder="1" applyAlignment="1">
      <alignment vertical="center"/>
    </xf>
    <xf numFmtId="0" fontId="33" fillId="34" borderId="21" xfId="0" applyFont="1" applyFill="1" applyBorder="1" applyAlignment="1">
      <alignment vertical="center"/>
    </xf>
    <xf numFmtId="0" fontId="33" fillId="35" borderId="21" xfId="0" applyFont="1" applyFill="1" applyBorder="1" applyAlignment="1">
      <alignment vertical="center"/>
    </xf>
    <xf numFmtId="0" fontId="33" fillId="36" borderId="21" xfId="0" applyFont="1" applyFill="1" applyBorder="1" applyAlignment="1">
      <alignment vertical="center"/>
    </xf>
    <xf numFmtId="2" fontId="35" fillId="0" borderId="1" xfId="0" applyNumberFormat="1" applyFont="1" applyFill="1" applyBorder="1" applyAlignment="1">
      <alignment horizontal="center" vertical="center"/>
    </xf>
    <xf numFmtId="0" fontId="35" fillId="0" borderId="6" xfId="0" applyFont="1" applyBorder="1" applyAlignment="1">
      <alignment horizontal="left" vertical="center" wrapText="1"/>
    </xf>
    <xf numFmtId="0" fontId="35" fillId="11" borderId="3" xfId="0" applyFont="1" applyFill="1" applyBorder="1" applyAlignment="1">
      <alignment vertical="center"/>
    </xf>
    <xf numFmtId="0" fontId="35" fillId="11" borderId="4" xfId="0" applyFont="1" applyFill="1" applyBorder="1" applyAlignment="1">
      <alignment vertical="center"/>
    </xf>
    <xf numFmtId="0" fontId="35" fillId="11" borderId="2" xfId="0" applyFont="1" applyFill="1" applyBorder="1" applyAlignment="1">
      <alignment vertical="center"/>
    </xf>
    <xf numFmtId="4" fontId="42" fillId="38" borderId="2" xfId="0" applyNumberFormat="1" applyFont="1" applyFill="1" applyBorder="1" applyAlignment="1">
      <alignment horizontal="center" vertical="center" wrapText="1"/>
    </xf>
    <xf numFmtId="0" fontId="33" fillId="37" borderId="21" xfId="0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3" fillId="39" borderId="21" xfId="0" applyFont="1" applyFill="1" applyBorder="1" applyAlignment="1">
      <alignment vertical="center"/>
    </xf>
    <xf numFmtId="0" fontId="43" fillId="0" borderId="2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33" fillId="40" borderId="21" xfId="0" applyFont="1" applyFill="1" applyBorder="1" applyAlignment="1">
      <alignment vertical="center"/>
    </xf>
    <xf numFmtId="0" fontId="53" fillId="0" borderId="2" xfId="0" applyFont="1" applyBorder="1" applyAlignment="1">
      <alignment vertical="center" wrapText="1"/>
    </xf>
    <xf numFmtId="3" fontId="35" fillId="0" borderId="3" xfId="0" applyNumberFormat="1" applyFont="1" applyBorder="1" applyAlignment="1">
      <alignment horizontal="center" vertical="center"/>
    </xf>
    <xf numFmtId="0" fontId="37" fillId="25" borderId="0" xfId="0" applyFont="1" applyFill="1"/>
    <xf numFmtId="3" fontId="35" fillId="0" borderId="3" xfId="0" applyNumberFormat="1" applyFont="1" applyBorder="1" applyAlignment="1">
      <alignment horizontal="center" vertical="center" wrapText="1"/>
    </xf>
    <xf numFmtId="0" fontId="33" fillId="41" borderId="21" xfId="0" applyFont="1" applyFill="1" applyBorder="1" applyAlignment="1">
      <alignment vertical="center"/>
    </xf>
    <xf numFmtId="0" fontId="34" fillId="0" borderId="0" xfId="0" applyFont="1" applyBorder="1" applyAlignment="1"/>
    <xf numFmtId="0" fontId="34" fillId="0" borderId="36" xfId="0" applyFont="1" applyBorder="1" applyAlignment="1"/>
    <xf numFmtId="0" fontId="35" fillId="0" borderId="0" xfId="0" applyFont="1" applyFill="1" applyBorder="1" applyAlignment="1"/>
    <xf numFmtId="0" fontId="37" fillId="0" borderId="24" xfId="0" applyFont="1" applyFill="1" applyBorder="1"/>
    <xf numFmtId="0" fontId="35" fillId="0" borderId="10" xfId="0" applyFont="1" applyFill="1" applyBorder="1" applyAlignment="1">
      <alignment horizontal="center" vertical="center" wrapText="1"/>
    </xf>
    <xf numFmtId="0" fontId="55" fillId="18" borderId="7" xfId="0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/>
    <xf numFmtId="0" fontId="33" fillId="0" borderId="10" xfId="0" applyFont="1" applyFill="1" applyBorder="1" applyAlignment="1">
      <alignment vertical="center"/>
    </xf>
    <xf numFmtId="0" fontId="55" fillId="18" borderId="2" xfId="0" applyFont="1" applyFill="1" applyBorder="1" applyAlignment="1">
      <alignment horizontal="center" vertical="center" wrapText="1"/>
    </xf>
    <xf numFmtId="0" fontId="55" fillId="18" borderId="1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 wrapText="1"/>
    </xf>
    <xf numFmtId="3" fontId="35" fillId="0" borderId="10" xfId="0" applyNumberFormat="1" applyFont="1" applyFill="1" applyBorder="1" applyAlignment="1">
      <alignment horizontal="center" vertical="center"/>
    </xf>
    <xf numFmtId="4" fontId="35" fillId="43" borderId="2" xfId="0" applyNumberFormat="1" applyFont="1" applyFill="1" applyBorder="1" applyAlignment="1">
      <alignment horizontal="center" vertical="center"/>
    </xf>
    <xf numFmtId="170" fontId="35" fillId="0" borderId="3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center" vertical="center"/>
    </xf>
    <xf numFmtId="170" fontId="35" fillId="0" borderId="1" xfId="0" applyNumberFormat="1" applyFont="1" applyFill="1" applyBorder="1" applyAlignment="1">
      <alignment horizontal="center" vertical="center"/>
    </xf>
    <xf numFmtId="3" fontId="35" fillId="0" borderId="4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3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center" vertical="center"/>
    </xf>
    <xf numFmtId="3" fontId="35" fillId="0" borderId="33" xfId="0" applyNumberFormat="1" applyFont="1" applyBorder="1" applyAlignment="1">
      <alignment horizontal="center" vertical="center"/>
    </xf>
    <xf numFmtId="4" fontId="35" fillId="43" borderId="1" xfId="0" applyNumberFormat="1" applyFont="1" applyFill="1" applyBorder="1" applyAlignment="1">
      <alignment horizontal="center" vertical="center"/>
    </xf>
    <xf numFmtId="3" fontId="35" fillId="0" borderId="10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173" fontId="35" fillId="0" borderId="20" xfId="0" applyNumberFormat="1" applyFont="1" applyFill="1" applyBorder="1" applyAlignment="1">
      <alignment horizontal="center" vertical="center"/>
    </xf>
    <xf numFmtId="173" fontId="35" fillId="0" borderId="18" xfId="0" applyNumberFormat="1" applyFont="1" applyFill="1" applyBorder="1" applyAlignment="1">
      <alignment horizontal="center" vertical="center"/>
    </xf>
    <xf numFmtId="173" fontId="35" fillId="0" borderId="3" xfId="0" applyNumberFormat="1" applyFont="1" applyFill="1" applyBorder="1" applyAlignment="1">
      <alignment horizontal="center" vertical="center"/>
    </xf>
    <xf numFmtId="173" fontId="35" fillId="0" borderId="1" xfId="0" applyNumberFormat="1" applyFont="1" applyFill="1" applyBorder="1" applyAlignment="1">
      <alignment horizontal="center" vertical="center"/>
    </xf>
    <xf numFmtId="3" fontId="54" fillId="28" borderId="20" xfId="0" applyNumberFormat="1" applyFont="1" applyFill="1" applyBorder="1" applyAlignment="1">
      <alignment horizontal="center" vertical="center"/>
    </xf>
    <xf numFmtId="3" fontId="54" fillId="28" borderId="1" xfId="0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vertical="center"/>
    </xf>
    <xf numFmtId="4" fontId="35" fillId="0" borderId="4" xfId="0" applyNumberFormat="1" applyFont="1" applyFill="1" applyBorder="1" applyAlignment="1">
      <alignment horizontal="center" vertical="center"/>
    </xf>
    <xf numFmtId="3" fontId="35" fillId="0" borderId="19" xfId="0" applyNumberFormat="1" applyFont="1" applyBorder="1" applyAlignment="1">
      <alignment horizontal="center" vertical="center" wrapText="1"/>
    </xf>
    <xf numFmtId="4" fontId="35" fillId="0" borderId="19" xfId="0" applyNumberFormat="1" applyFont="1" applyFill="1" applyBorder="1" applyAlignment="1">
      <alignment horizontal="center" vertical="center"/>
    </xf>
    <xf numFmtId="4" fontId="35" fillId="0" borderId="43" xfId="0" applyNumberFormat="1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vertical="center"/>
    </xf>
    <xf numFmtId="0" fontId="55" fillId="18" borderId="6" xfId="0" applyFont="1" applyFill="1" applyBorder="1" applyAlignment="1">
      <alignment horizontal="center" vertical="center" wrapText="1"/>
    </xf>
    <xf numFmtId="0" fontId="37" fillId="0" borderId="0" xfId="0" applyFont="1" applyBorder="1" applyAlignment="1"/>
    <xf numFmtId="0" fontId="55" fillId="18" borderId="10" xfId="0" applyFont="1" applyFill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35" fillId="0" borderId="9" xfId="0" applyFont="1" applyFill="1" applyBorder="1" applyAlignment="1">
      <alignment vertical="center" wrapText="1"/>
    </xf>
    <xf numFmtId="0" fontId="35" fillId="11" borderId="32" xfId="0" applyFont="1" applyFill="1" applyBorder="1" applyAlignment="1">
      <alignment vertical="center" wrapText="1"/>
    </xf>
    <xf numFmtId="2" fontId="35" fillId="0" borderId="2" xfId="0" applyNumberFormat="1" applyFont="1" applyFill="1" applyBorder="1" applyAlignment="1">
      <alignment horizontal="center" vertical="center"/>
    </xf>
    <xf numFmtId="4" fontId="35" fillId="43" borderId="3" xfId="0" applyNumberFormat="1" applyFont="1" applyFill="1" applyBorder="1" applyAlignment="1">
      <alignment horizontal="center" vertical="center"/>
    </xf>
    <xf numFmtId="3" fontId="35" fillId="0" borderId="2" xfId="0" applyNumberFormat="1" applyFont="1" applyFill="1" applyBorder="1" applyAlignment="1">
      <alignment horizontal="center" vertical="center"/>
    </xf>
    <xf numFmtId="3" fontId="35" fillId="0" borderId="3" xfId="0" applyNumberFormat="1" applyFont="1" applyFill="1" applyBorder="1" applyAlignment="1">
      <alignment horizontal="center" vertical="center"/>
    </xf>
    <xf numFmtId="0" fontId="37" fillId="0" borderId="7" xfId="0" applyFont="1" applyBorder="1" applyAlignment="1"/>
    <xf numFmtId="3" fontId="54" fillId="28" borderId="38" xfId="0" applyNumberFormat="1" applyFont="1" applyFill="1" applyBorder="1" applyAlignment="1">
      <alignment horizontal="center" vertical="center"/>
    </xf>
    <xf numFmtId="4" fontId="35" fillId="0" borderId="32" xfId="0" applyNumberFormat="1" applyFont="1" applyFill="1" applyBorder="1" applyAlignment="1">
      <alignment horizontal="center" vertical="center"/>
    </xf>
    <xf numFmtId="0" fontId="55" fillId="18" borderId="34" xfId="0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center" vertical="center"/>
    </xf>
    <xf numFmtId="3" fontId="35" fillId="0" borderId="15" xfId="0" applyNumberFormat="1" applyFont="1" applyFill="1" applyBorder="1" applyAlignment="1">
      <alignment horizontal="center" vertical="center" wrapText="1"/>
    </xf>
    <xf numFmtId="2" fontId="35" fillId="43" borderId="1" xfId="0" applyNumberFormat="1" applyFont="1" applyFill="1" applyBorder="1" applyAlignment="1">
      <alignment horizontal="center" vertical="center"/>
    </xf>
    <xf numFmtId="3" fontId="35" fillId="0" borderId="2" xfId="0" applyNumberFormat="1" applyFont="1" applyBorder="1" applyAlignment="1">
      <alignment horizontal="center" vertical="center"/>
    </xf>
    <xf numFmtId="0" fontId="35" fillId="11" borderId="4" xfId="0" applyFont="1" applyFill="1" applyBorder="1" applyAlignment="1">
      <alignment horizontal="center" vertical="center"/>
    </xf>
    <xf numFmtId="173" fontId="35" fillId="0" borderId="14" xfId="0" applyNumberFormat="1" applyFont="1" applyFill="1" applyBorder="1" applyAlignment="1">
      <alignment horizontal="center" vertical="center"/>
    </xf>
    <xf numFmtId="0" fontId="34" fillId="0" borderId="4" xfId="0" applyFont="1" applyBorder="1" applyAlignment="1"/>
    <xf numFmtId="0" fontId="34" fillId="0" borderId="4" xfId="0" applyFont="1" applyBorder="1"/>
    <xf numFmtId="0" fontId="35" fillId="0" borderId="3" xfId="0" applyFont="1" applyBorder="1" applyAlignment="1">
      <alignment vertical="center"/>
    </xf>
    <xf numFmtId="0" fontId="50" fillId="13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14" fontId="44" fillId="12" borderId="1" xfId="0" applyNumberFormat="1" applyFont="1" applyFill="1" applyBorder="1" applyAlignment="1">
      <alignment horizontal="center" vertical="center"/>
    </xf>
    <xf numFmtId="166" fontId="44" fillId="12" borderId="1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10" fontId="35" fillId="0" borderId="6" xfId="0" applyNumberFormat="1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 wrapText="1"/>
    </xf>
    <xf numFmtId="10" fontId="35" fillId="0" borderId="18" xfId="0" applyNumberFormat="1" applyFont="1" applyBorder="1" applyAlignment="1">
      <alignment horizontal="center" vertical="center"/>
    </xf>
    <xf numFmtId="166" fontId="41" fillId="6" borderId="18" xfId="0" applyNumberFormat="1" applyFont="1" applyFill="1" applyBorder="1" applyAlignment="1">
      <alignment horizontal="center" vertical="center"/>
    </xf>
    <xf numFmtId="0" fontId="35" fillId="5" borderId="3" xfId="0" applyFont="1" applyFill="1" applyBorder="1" applyAlignment="1"/>
    <xf numFmtId="0" fontId="35" fillId="5" borderId="4" xfId="0" applyFont="1" applyFill="1" applyBorder="1" applyAlignment="1"/>
    <xf numFmtId="0" fontId="35" fillId="5" borderId="4" xfId="0" applyFont="1" applyFill="1" applyBorder="1"/>
    <xf numFmtId="0" fontId="35" fillId="5" borderId="2" xfId="0" applyFont="1" applyFill="1" applyBorder="1" applyAlignment="1"/>
    <xf numFmtId="0" fontId="38" fillId="0" borderId="0" xfId="0" applyFont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vertical="center"/>
    </xf>
    <xf numFmtId="0" fontId="43" fillId="0" borderId="2" xfId="0" applyFont="1" applyBorder="1" applyAlignment="1">
      <alignment vertical="center"/>
    </xf>
    <xf numFmtId="0" fontId="43" fillId="0" borderId="3" xfId="0" applyFont="1" applyFill="1" applyBorder="1" applyAlignment="1">
      <alignment vertical="center"/>
    </xf>
    <xf numFmtId="0" fontId="43" fillId="0" borderId="19" xfId="0" applyFont="1" applyFill="1" applyBorder="1" applyAlignment="1">
      <alignment vertical="center"/>
    </xf>
    <xf numFmtId="0" fontId="43" fillId="0" borderId="33" xfId="0" applyFont="1" applyFill="1" applyBorder="1" applyAlignment="1">
      <alignment vertical="center"/>
    </xf>
    <xf numFmtId="0" fontId="37" fillId="3" borderId="0" xfId="0" applyFont="1" applyFill="1"/>
    <xf numFmtId="0" fontId="35" fillId="0" borderId="21" xfId="0" applyFont="1" applyBorder="1" applyAlignment="1">
      <alignment horizontal="center" vertical="center"/>
    </xf>
    <xf numFmtId="0" fontId="35" fillId="0" borderId="20" xfId="0" applyFont="1" applyBorder="1" applyAlignment="1">
      <alignment vertical="center"/>
    </xf>
    <xf numFmtId="0" fontId="35" fillId="0" borderId="19" xfId="0" applyFont="1" applyBorder="1" applyAlignment="1">
      <alignment vertical="center"/>
    </xf>
    <xf numFmtId="0" fontId="35" fillId="0" borderId="33" xfId="0" applyFont="1" applyBorder="1" applyAlignment="1">
      <alignment vertical="center"/>
    </xf>
    <xf numFmtId="166" fontId="35" fillId="0" borderId="1" xfId="0" applyNumberFormat="1" applyFont="1" applyBorder="1" applyAlignment="1">
      <alignment horizontal="center" vertical="center"/>
    </xf>
    <xf numFmtId="168" fontId="35" fillId="0" borderId="2" xfId="0" applyNumberFormat="1" applyFont="1" applyBorder="1" applyAlignment="1">
      <alignment horizontal="center" vertical="center"/>
    </xf>
    <xf numFmtId="10" fontId="43" fillId="11" borderId="18" xfId="0" applyNumberFormat="1" applyFont="1" applyFill="1" applyBorder="1" applyAlignment="1">
      <alignment horizontal="center" vertical="center"/>
    </xf>
    <xf numFmtId="166" fontId="43" fillId="11" borderId="18" xfId="0" applyNumberFormat="1" applyFont="1" applyFill="1" applyBorder="1" applyAlignment="1">
      <alignment horizontal="center" vertical="center"/>
    </xf>
    <xf numFmtId="0" fontId="37" fillId="0" borderId="3" xfId="0" applyFont="1" applyBorder="1" applyAlignment="1"/>
    <xf numFmtId="0" fontId="37" fillId="0" borderId="4" xfId="0" applyFont="1" applyBorder="1" applyAlignment="1"/>
    <xf numFmtId="0" fontId="37" fillId="0" borderId="4" xfId="0" applyFont="1" applyBorder="1"/>
    <xf numFmtId="0" fontId="43" fillId="0" borderId="4" xfId="0" applyFont="1" applyFill="1" applyBorder="1" applyAlignment="1">
      <alignment vertical="center"/>
    </xf>
    <xf numFmtId="0" fontId="43" fillId="0" borderId="2" xfId="0" applyFont="1" applyFill="1" applyBorder="1" applyAlignment="1">
      <alignment vertical="center"/>
    </xf>
    <xf numFmtId="0" fontId="35" fillId="0" borderId="9" xfId="0" applyFont="1" applyBorder="1" applyAlignment="1">
      <alignment vertical="center"/>
    </xf>
    <xf numFmtId="0" fontId="35" fillId="0" borderId="7" xfId="0" applyFont="1" applyBorder="1" applyAlignment="1">
      <alignment vertical="center"/>
    </xf>
    <xf numFmtId="167" fontId="35" fillId="0" borderId="1" xfId="0" applyNumberFormat="1" applyFont="1" applyBorder="1" applyAlignment="1">
      <alignment horizontal="center" vertical="center"/>
    </xf>
    <xf numFmtId="10" fontId="43" fillId="11" borderId="1" xfId="0" applyNumberFormat="1" applyFont="1" applyFill="1" applyBorder="1" applyAlignment="1">
      <alignment horizontal="center" vertical="center"/>
    </xf>
    <xf numFmtId="167" fontId="43" fillId="11" borderId="1" xfId="0" applyNumberFormat="1" applyFont="1" applyFill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35" fillId="0" borderId="6" xfId="0" applyFont="1" applyBorder="1" applyAlignment="1">
      <alignment horizontal="center" vertical="center"/>
    </xf>
    <xf numFmtId="166" fontId="35" fillId="3" borderId="1" xfId="0" applyNumberFormat="1" applyFont="1" applyFill="1" applyBorder="1" applyAlignment="1">
      <alignment horizontal="center" vertical="center"/>
    </xf>
    <xf numFmtId="166" fontId="43" fillId="11" borderId="1" xfId="0" applyNumberFormat="1" applyFont="1" applyFill="1" applyBorder="1" applyAlignment="1">
      <alignment horizontal="center" vertical="center"/>
    </xf>
    <xf numFmtId="0" fontId="35" fillId="24" borderId="3" xfId="0" applyFont="1" applyFill="1" applyBorder="1"/>
    <xf numFmtId="0" fontId="35" fillId="24" borderId="4" xfId="0" applyFont="1" applyFill="1" applyBorder="1"/>
    <xf numFmtId="10" fontId="34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 vertical="center"/>
    </xf>
    <xf numFmtId="0" fontId="43" fillId="0" borderId="3" xfId="0" applyFont="1" applyBorder="1" applyAlignment="1">
      <alignment vertical="center"/>
    </xf>
    <xf numFmtId="0" fontId="43" fillId="0" borderId="21" xfId="0" applyFont="1" applyBorder="1" applyAlignment="1">
      <alignment vertical="center"/>
    </xf>
    <xf numFmtId="0" fontId="43" fillId="0" borderId="5" xfId="0" applyFont="1" applyBorder="1" applyAlignment="1">
      <alignment vertical="center"/>
    </xf>
    <xf numFmtId="0" fontId="35" fillId="0" borderId="3" xfId="0" applyFont="1" applyBorder="1"/>
    <xf numFmtId="0" fontId="35" fillId="0" borderId="4" xfId="0" applyFont="1" applyBorder="1"/>
    <xf numFmtId="167" fontId="41" fillId="6" borderId="3" xfId="0" applyNumberFormat="1" applyFont="1" applyFill="1" applyBorder="1" applyAlignment="1">
      <alignment horizontal="center" vertical="center"/>
    </xf>
    <xf numFmtId="167" fontId="41" fillId="6" borderId="1" xfId="0" applyNumberFormat="1" applyFont="1" applyFill="1" applyBorder="1" applyAlignment="1">
      <alignment horizontal="center" vertical="center"/>
    </xf>
    <xf numFmtId="166" fontId="35" fillId="0" borderId="1" xfId="0" applyNumberFormat="1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left" vertical="center"/>
    </xf>
    <xf numFmtId="0" fontId="43" fillId="0" borderId="2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166" fontId="41" fillId="6" borderId="6" xfId="0" applyNumberFormat="1" applyFont="1" applyFill="1" applyBorder="1" applyAlignment="1">
      <alignment horizontal="center" vertical="center"/>
    </xf>
    <xf numFmtId="0" fontId="42" fillId="0" borderId="21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166" fontId="44" fillId="0" borderId="1" xfId="0" applyNumberFormat="1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/>
    <xf numFmtId="0" fontId="41" fillId="0" borderId="0" xfId="0" applyFont="1" applyFill="1" applyBorder="1" applyAlignment="1">
      <alignment vertical="center"/>
    </xf>
    <xf numFmtId="0" fontId="34" fillId="0" borderId="0" xfId="0" applyFont="1" applyBorder="1" applyAlignment="1">
      <alignment vertical="center" wrapText="1"/>
    </xf>
    <xf numFmtId="0" fontId="50" fillId="13" borderId="1" xfId="0" applyFont="1" applyFill="1" applyBorder="1" applyAlignment="1">
      <alignment horizontal="center" vertical="center" wrapText="1"/>
    </xf>
    <xf numFmtId="0" fontId="44" fillId="12" borderId="0" xfId="0" applyFont="1" applyFill="1" applyBorder="1" applyAlignment="1">
      <alignment vertical="center"/>
    </xf>
    <xf numFmtId="0" fontId="44" fillId="12" borderId="0" xfId="0" applyFont="1" applyFill="1" applyBorder="1" applyAlignment="1">
      <alignment vertical="center" wrapText="1"/>
    </xf>
    <xf numFmtId="0" fontId="35" fillId="0" borderId="0" xfId="0" applyFont="1" applyBorder="1" applyAlignment="1">
      <alignment vertical="center" wrapText="1"/>
    </xf>
    <xf numFmtId="167" fontId="35" fillId="0" borderId="0" xfId="0" applyNumberFormat="1" applyFont="1" applyBorder="1" applyAlignment="1">
      <alignment vertical="center"/>
    </xf>
    <xf numFmtId="167" fontId="35" fillId="0" borderId="0" xfId="0" applyNumberFormat="1" applyFont="1" applyFill="1" applyBorder="1" applyAlignment="1">
      <alignment vertical="center"/>
    </xf>
    <xf numFmtId="167" fontId="43" fillId="0" borderId="0" xfId="0" applyNumberFormat="1" applyFont="1" applyFill="1" applyBorder="1" applyAlignment="1">
      <alignment vertical="center"/>
    </xf>
    <xf numFmtId="10" fontId="35" fillId="0" borderId="0" xfId="0" applyNumberFormat="1" applyFont="1" applyFill="1" applyBorder="1" applyAlignment="1">
      <alignment vertical="center"/>
    </xf>
    <xf numFmtId="168" fontId="35" fillId="0" borderId="0" xfId="0" applyNumberFormat="1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10" fontId="44" fillId="0" borderId="0" xfId="0" applyNumberFormat="1" applyFont="1" applyFill="1" applyBorder="1" applyAlignment="1">
      <alignment vertical="center"/>
    </xf>
    <xf numFmtId="167" fontId="41" fillId="0" borderId="0" xfId="0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center" vertical="center"/>
    </xf>
    <xf numFmtId="166" fontId="41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/>
    <xf numFmtId="166" fontId="34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Alignment="1">
      <alignment horizontal="center" vertical="center"/>
    </xf>
    <xf numFmtId="166" fontId="43" fillId="0" borderId="0" xfId="0" applyNumberFormat="1" applyFont="1" applyFill="1" applyBorder="1" applyAlignment="1">
      <alignment horizontal="center" vertical="center"/>
    </xf>
    <xf numFmtId="167" fontId="41" fillId="0" borderId="0" xfId="0" applyNumberFormat="1" applyFont="1" applyFill="1" applyBorder="1" applyAlignment="1">
      <alignment horizontal="center" vertical="center"/>
    </xf>
    <xf numFmtId="165" fontId="35" fillId="0" borderId="0" xfId="0" applyNumberFormat="1" applyFont="1" applyFill="1" applyBorder="1" applyAlignment="1">
      <alignment vertical="center"/>
    </xf>
    <xf numFmtId="165" fontId="41" fillId="0" borderId="0" xfId="0" applyNumberFormat="1" applyFont="1" applyFill="1" applyBorder="1" applyAlignment="1">
      <alignment vertical="center"/>
    </xf>
    <xf numFmtId="0" fontId="34" fillId="0" borderId="9" xfId="0" applyFont="1" applyBorder="1"/>
    <xf numFmtId="0" fontId="34" fillId="0" borderId="7" xfId="0" applyFont="1" applyBorder="1" applyAlignment="1"/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0" fontId="37" fillId="0" borderId="18" xfId="0" applyFont="1" applyFill="1" applyBorder="1"/>
    <xf numFmtId="0" fontId="35" fillId="11" borderId="4" xfId="0" applyFont="1" applyFill="1" applyBorder="1" applyAlignment="1">
      <alignment horizontal="left" vertical="center" wrapText="1"/>
    </xf>
    <xf numFmtId="166" fontId="35" fillId="0" borderId="3" xfId="0" applyNumberFormat="1" applyFont="1" applyFill="1" applyBorder="1" applyAlignment="1">
      <alignment horizontal="center" vertical="center"/>
    </xf>
    <xf numFmtId="166" fontId="35" fillId="0" borderId="1" xfId="0" applyNumberFormat="1" applyFont="1" applyFill="1" applyBorder="1" applyAlignment="1">
      <alignment horizontal="center" vertical="center" wrapText="1"/>
    </xf>
    <xf numFmtId="166" fontId="35" fillId="0" borderId="18" xfId="0" applyNumberFormat="1" applyFont="1" applyFill="1" applyBorder="1" applyAlignment="1">
      <alignment horizontal="center" vertical="center"/>
    </xf>
    <xf numFmtId="166" fontId="35" fillId="0" borderId="20" xfId="0" applyNumberFormat="1" applyFont="1" applyFill="1" applyBorder="1" applyAlignment="1">
      <alignment horizontal="center" vertical="center"/>
    </xf>
    <xf numFmtId="166" fontId="35" fillId="0" borderId="18" xfId="0" applyNumberFormat="1" applyFont="1" applyFill="1" applyBorder="1" applyAlignment="1">
      <alignment horizontal="center" vertical="center" wrapText="1"/>
    </xf>
    <xf numFmtId="166" fontId="35" fillId="0" borderId="6" xfId="0" applyNumberFormat="1" applyFont="1" applyFill="1" applyBorder="1" applyAlignment="1">
      <alignment horizontal="center" vertical="center"/>
    </xf>
    <xf numFmtId="166" fontId="35" fillId="0" borderId="6" xfId="0" applyNumberFormat="1" applyFont="1" applyFill="1" applyBorder="1" applyAlignment="1">
      <alignment horizontal="center" vertical="center" wrapText="1"/>
    </xf>
    <xf numFmtId="3" fontId="35" fillId="0" borderId="6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/>
    <xf numFmtId="0" fontId="37" fillId="0" borderId="9" xfId="0" applyFont="1" applyFill="1" applyBorder="1"/>
    <xf numFmtId="3" fontId="35" fillId="0" borderId="18" xfId="0" applyNumberFormat="1" applyFont="1" applyBorder="1" applyAlignment="1">
      <alignment horizontal="center" vertical="center" wrapText="1"/>
    </xf>
    <xf numFmtId="0" fontId="35" fillId="11" borderId="3" xfId="0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33" fillId="0" borderId="18" xfId="0" applyFont="1" applyFill="1" applyBorder="1" applyAlignment="1">
      <alignment vertical="center"/>
    </xf>
    <xf numFmtId="0" fontId="35" fillId="11" borderId="1" xfId="0" applyFont="1" applyFill="1" applyBorder="1" applyAlignment="1">
      <alignment horizontal="left" vertical="center" wrapText="1"/>
    </xf>
    <xf numFmtId="4" fontId="35" fillId="0" borderId="33" xfId="0" applyNumberFormat="1" applyFont="1" applyFill="1" applyBorder="1" applyAlignment="1">
      <alignment horizontal="center" vertical="center"/>
    </xf>
    <xf numFmtId="4" fontId="35" fillId="0" borderId="2" xfId="0" applyNumberFormat="1" applyFont="1" applyBorder="1" applyAlignment="1">
      <alignment horizontal="center" vertical="center"/>
    </xf>
    <xf numFmtId="3" fontId="35" fillId="0" borderId="20" xfId="0" applyNumberFormat="1" applyFont="1" applyBorder="1" applyAlignment="1">
      <alignment horizontal="center" vertical="center" wrapText="1"/>
    </xf>
    <xf numFmtId="0" fontId="42" fillId="28" borderId="7" xfId="0" applyFont="1" applyFill="1" applyBorder="1" applyAlignment="1">
      <alignment horizontal="center" vertical="center" wrapText="1"/>
    </xf>
    <xf numFmtId="0" fontId="42" fillId="28" borderId="10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" xfId="0" applyFont="1" applyFill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/>
    </xf>
    <xf numFmtId="166" fontId="35" fillId="0" borderId="3" xfId="0" applyNumberFormat="1" applyFont="1" applyBorder="1" applyAlignment="1">
      <alignment horizontal="center" vertical="center"/>
    </xf>
    <xf numFmtId="2" fontId="35" fillId="0" borderId="1" xfId="0" applyNumberFormat="1" applyFont="1" applyFill="1" applyBorder="1" applyAlignment="1">
      <alignment horizontal="center" vertical="center" wrapText="1"/>
    </xf>
    <xf numFmtId="166" fontId="35" fillId="0" borderId="33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3" fontId="35" fillId="28" borderId="19" xfId="0" applyNumberFormat="1" applyFont="1" applyFill="1" applyBorder="1" applyAlignment="1">
      <alignment horizontal="center" vertical="center"/>
    </xf>
    <xf numFmtId="166" fontId="35" fillId="28" borderId="19" xfId="0" applyNumberFormat="1" applyFont="1" applyFill="1" applyBorder="1" applyAlignment="1">
      <alignment horizontal="center" vertical="center"/>
    </xf>
    <xf numFmtId="166" fontId="43" fillId="0" borderId="19" xfId="0" applyNumberFormat="1" applyFont="1" applyFill="1" applyBorder="1" applyAlignment="1">
      <alignment horizontal="center" vertical="center"/>
    </xf>
    <xf numFmtId="3" fontId="35" fillId="28" borderId="20" xfId="0" applyNumberFormat="1" applyFont="1" applyFill="1" applyBorder="1" applyAlignment="1">
      <alignment horizontal="center" vertical="center"/>
    </xf>
    <xf numFmtId="166" fontId="43" fillId="0" borderId="33" xfId="0" applyNumberFormat="1" applyFont="1" applyFill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3" fontId="35" fillId="0" borderId="19" xfId="0" applyNumberFormat="1" applyFont="1" applyBorder="1" applyAlignment="1">
      <alignment horizontal="center" vertical="center"/>
    </xf>
    <xf numFmtId="166" fontId="35" fillId="0" borderId="19" xfId="0" applyNumberFormat="1" applyFont="1" applyFill="1" applyBorder="1" applyAlignment="1">
      <alignment horizontal="center" vertical="center"/>
    </xf>
    <xf numFmtId="166" fontId="35" fillId="0" borderId="19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 wrapText="1"/>
    </xf>
    <xf numFmtId="166" fontId="35" fillId="0" borderId="5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3" xfId="0" applyNumberFormat="1" applyFont="1" applyBorder="1" applyAlignment="1">
      <alignment horizontal="center" vertical="center" wrapText="1"/>
    </xf>
    <xf numFmtId="166" fontId="43" fillId="0" borderId="1" xfId="0" applyNumberFormat="1" applyFont="1" applyFill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0" fontId="37" fillId="0" borderId="10" xfId="0" applyFont="1" applyFill="1" applyBorder="1"/>
    <xf numFmtId="0" fontId="33" fillId="0" borderId="20" xfId="0" applyFont="1" applyFill="1" applyBorder="1" applyAlignment="1">
      <alignment vertical="center"/>
    </xf>
    <xf numFmtId="0" fontId="37" fillId="0" borderId="19" xfId="0" applyFont="1" applyBorder="1"/>
    <xf numFmtId="0" fontId="35" fillId="0" borderId="9" xfId="0" applyFont="1" applyFill="1" applyBorder="1" applyAlignment="1">
      <alignment horizontal="center" vertical="center" wrapText="1"/>
    </xf>
    <xf numFmtId="0" fontId="42" fillId="28" borderId="18" xfId="0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left" vertical="center" wrapText="1"/>
    </xf>
    <xf numFmtId="3" fontId="35" fillId="0" borderId="9" xfId="0" applyNumberFormat="1" applyFont="1" applyFill="1" applyBorder="1" applyAlignment="1">
      <alignment horizontal="center" vertical="center"/>
    </xf>
    <xf numFmtId="2" fontId="35" fillId="0" borderId="6" xfId="0" applyNumberFormat="1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3" fontId="35" fillId="0" borderId="20" xfId="0" applyNumberFormat="1" applyFont="1" applyFill="1" applyBorder="1" applyAlignment="1">
      <alignment horizontal="center" vertical="center"/>
    </xf>
    <xf numFmtId="3" fontId="35" fillId="0" borderId="9" xfId="0" applyNumberFormat="1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/>
    </xf>
    <xf numFmtId="3" fontId="35" fillId="28" borderId="3" xfId="0" applyNumberFormat="1" applyFont="1" applyFill="1" applyBorder="1" applyAlignment="1">
      <alignment horizontal="center" vertical="center"/>
    </xf>
    <xf numFmtId="166" fontId="35" fillId="28" borderId="4" xfId="0" applyNumberFormat="1" applyFont="1" applyFill="1" applyBorder="1" applyAlignment="1">
      <alignment horizontal="center" vertical="center"/>
    </xf>
    <xf numFmtId="166" fontId="43" fillId="0" borderId="2" xfId="0" applyNumberFormat="1" applyFont="1" applyFill="1" applyBorder="1" applyAlignment="1">
      <alignment horizontal="center" vertical="center"/>
    </xf>
    <xf numFmtId="0" fontId="37" fillId="0" borderId="5" xfId="0" applyFont="1" applyBorder="1" applyAlignment="1"/>
    <xf numFmtId="0" fontId="33" fillId="0" borderId="5" xfId="0" applyFont="1" applyFill="1" applyBorder="1" applyAlignment="1">
      <alignment vertical="center"/>
    </xf>
    <xf numFmtId="0" fontId="37" fillId="0" borderId="5" xfId="0" applyFont="1" applyBorder="1"/>
    <xf numFmtId="166" fontId="43" fillId="0" borderId="7" xfId="0" applyNumberFormat="1" applyFont="1" applyFill="1" applyBorder="1" applyAlignment="1">
      <alignment horizontal="center" vertical="center"/>
    </xf>
    <xf numFmtId="166" fontId="43" fillId="0" borderId="36" xfId="0" applyNumberFormat="1" applyFont="1" applyFill="1" applyBorder="1" applyAlignment="1">
      <alignment horizontal="center" vertical="center"/>
    </xf>
    <xf numFmtId="166" fontId="35" fillId="0" borderId="6" xfId="0" applyNumberFormat="1" applyFont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166" fontId="35" fillId="0" borderId="14" xfId="0" applyNumberFormat="1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166" fontId="43" fillId="0" borderId="18" xfId="0" applyNumberFormat="1" applyFont="1" applyFill="1" applyBorder="1" applyAlignment="1">
      <alignment horizontal="center" vertical="center"/>
    </xf>
    <xf numFmtId="166" fontId="43" fillId="0" borderId="14" xfId="0" applyNumberFormat="1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vertical="center"/>
    </xf>
    <xf numFmtId="3" fontId="35" fillId="0" borderId="51" xfId="0" applyNumberFormat="1" applyFont="1" applyFill="1" applyBorder="1" applyAlignment="1">
      <alignment horizontal="center" vertical="center" wrapText="1"/>
    </xf>
    <xf numFmtId="3" fontId="35" fillId="28" borderId="17" xfId="0" applyNumberFormat="1" applyFont="1" applyFill="1" applyBorder="1" applyAlignment="1">
      <alignment horizontal="center" vertical="center"/>
    </xf>
    <xf numFmtId="166" fontId="35" fillId="28" borderId="22" xfId="0" applyNumberFormat="1" applyFont="1" applyFill="1" applyBorder="1" applyAlignment="1">
      <alignment horizontal="center" vertical="center"/>
    </xf>
    <xf numFmtId="166" fontId="43" fillId="0" borderId="8" xfId="0" applyNumberFormat="1" applyFont="1" applyFill="1" applyBorder="1" applyAlignment="1">
      <alignment horizontal="center" vertical="center"/>
    </xf>
    <xf numFmtId="166" fontId="35" fillId="0" borderId="20" xfId="0" applyNumberFormat="1" applyFont="1" applyBorder="1" applyAlignment="1">
      <alignment horizontal="center" vertical="center" wrapText="1"/>
    </xf>
    <xf numFmtId="166" fontId="35" fillId="28" borderId="2" xfId="0" applyNumberFormat="1" applyFont="1" applyFill="1" applyBorder="1" applyAlignment="1">
      <alignment horizontal="center" vertical="center"/>
    </xf>
    <xf numFmtId="0" fontId="43" fillId="0" borderId="8" xfId="0" applyFont="1" applyBorder="1" applyAlignment="1">
      <alignment horizontal="center" vertical="center" wrapText="1"/>
    </xf>
    <xf numFmtId="3" fontId="35" fillId="0" borderId="51" xfId="0" applyNumberFormat="1" applyFont="1" applyFill="1" applyBorder="1" applyAlignment="1">
      <alignment horizontal="center" vertical="center"/>
    </xf>
    <xf numFmtId="166" fontId="35" fillId="28" borderId="23" xfId="0" applyNumberFormat="1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63" fillId="0" borderId="0" xfId="0" applyFont="1" applyAlignment="1">
      <alignment vertical="center" textRotation="90"/>
    </xf>
    <xf numFmtId="0" fontId="53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35" fillId="15" borderId="30" xfId="0" applyFont="1" applyFill="1" applyBorder="1" applyAlignment="1">
      <alignment horizontal="right" vertical="center"/>
    </xf>
    <xf numFmtId="167" fontId="35" fillId="0" borderId="13" xfId="0" applyNumberFormat="1" applyFont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right" vertical="center"/>
    </xf>
    <xf numFmtId="167" fontId="35" fillId="0" borderId="1" xfId="0" applyNumberFormat="1" applyFont="1" applyBorder="1" applyAlignment="1">
      <alignment horizontal="center" vertical="center" wrapText="1"/>
    </xf>
    <xf numFmtId="0" fontId="35" fillId="16" borderId="2" xfId="0" applyFont="1" applyFill="1" applyBorder="1" applyAlignment="1">
      <alignment horizontal="right" vertical="center"/>
    </xf>
    <xf numFmtId="0" fontId="35" fillId="17" borderId="23" xfId="0" applyFont="1" applyFill="1" applyBorder="1" applyAlignment="1">
      <alignment horizontal="right" vertical="center"/>
    </xf>
    <xf numFmtId="167" fontId="35" fillId="0" borderId="54" xfId="0" applyNumberFormat="1" applyFont="1" applyBorder="1" applyAlignment="1">
      <alignment horizontal="center" vertical="center" wrapText="1"/>
    </xf>
    <xf numFmtId="0" fontId="35" fillId="33" borderId="34" xfId="0" applyFont="1" applyFill="1" applyBorder="1" applyAlignment="1">
      <alignment horizontal="right" vertical="center"/>
    </xf>
    <xf numFmtId="167" fontId="35" fillId="0" borderId="5" xfId="0" applyNumberFormat="1" applyFont="1" applyBorder="1" applyAlignment="1">
      <alignment horizontal="center" vertical="center" wrapText="1"/>
    </xf>
    <xf numFmtId="0" fontId="35" fillId="34" borderId="2" xfId="0" applyFont="1" applyFill="1" applyBorder="1" applyAlignment="1">
      <alignment horizontal="right" vertical="center"/>
    </xf>
    <xf numFmtId="167" fontId="35" fillId="0" borderId="4" xfId="0" applyNumberFormat="1" applyFont="1" applyBorder="1" applyAlignment="1">
      <alignment horizontal="center" vertical="center" wrapText="1"/>
    </xf>
    <xf numFmtId="0" fontId="35" fillId="35" borderId="2" xfId="0" applyFont="1" applyFill="1" applyBorder="1" applyAlignment="1">
      <alignment horizontal="right" vertical="center"/>
    </xf>
    <xf numFmtId="0" fontId="35" fillId="36" borderId="23" xfId="0" applyFont="1" applyFill="1" applyBorder="1" applyAlignment="1">
      <alignment horizontal="right" vertical="center"/>
    </xf>
    <xf numFmtId="167" fontId="35" fillId="0" borderId="22" xfId="0" applyNumberFormat="1" applyFont="1" applyBorder="1" applyAlignment="1">
      <alignment horizontal="center" vertical="center" wrapText="1"/>
    </xf>
    <xf numFmtId="0" fontId="50" fillId="0" borderId="46" xfId="0" applyFont="1" applyFill="1" applyBorder="1" applyAlignment="1">
      <alignment horizontal="center" vertical="center" textRotation="90"/>
    </xf>
    <xf numFmtId="0" fontId="35" fillId="37" borderId="58" xfId="0" applyFont="1" applyFill="1" applyBorder="1" applyAlignment="1">
      <alignment horizontal="right" vertical="center"/>
    </xf>
    <xf numFmtId="167" fontId="35" fillId="0" borderId="68" xfId="0" applyNumberFormat="1" applyFont="1" applyFill="1" applyBorder="1" applyAlignment="1">
      <alignment horizontal="center" vertical="center" wrapText="1"/>
    </xf>
    <xf numFmtId="167" fontId="35" fillId="0" borderId="58" xfId="0" applyNumberFormat="1" applyFont="1" applyFill="1" applyBorder="1" applyAlignment="1">
      <alignment horizontal="center" vertical="center" wrapText="1"/>
    </xf>
    <xf numFmtId="167" fontId="35" fillId="0" borderId="70" xfId="0" applyNumberFormat="1" applyFont="1" applyBorder="1" applyAlignment="1">
      <alignment horizontal="center" vertical="center" wrapText="1"/>
    </xf>
    <xf numFmtId="166" fontId="37" fillId="0" borderId="0" xfId="0" applyNumberFormat="1" applyFont="1" applyAlignment="1">
      <alignment horizontal="right" vertical="center"/>
    </xf>
    <xf numFmtId="0" fontId="35" fillId="39" borderId="6" xfId="0" applyFont="1" applyFill="1" applyBorder="1" applyAlignment="1">
      <alignment horizontal="right" vertical="center"/>
    </xf>
    <xf numFmtId="167" fontId="35" fillId="0" borderId="6" xfId="0" applyNumberFormat="1" applyFont="1" applyFill="1" applyBorder="1" applyAlignment="1">
      <alignment horizontal="center" vertical="center" wrapText="1"/>
    </xf>
    <xf numFmtId="0" fontId="34" fillId="13" borderId="8" xfId="0" applyFont="1" applyFill="1" applyBorder="1" applyAlignment="1">
      <alignment horizontal="right" vertical="center" wrapText="1"/>
    </xf>
    <xf numFmtId="167" fontId="35" fillId="0" borderId="8" xfId="0" applyNumberFormat="1" applyFont="1" applyFill="1" applyBorder="1" applyAlignment="1">
      <alignment horizontal="center" vertical="center" wrapText="1"/>
    </xf>
    <xf numFmtId="0" fontId="50" fillId="0" borderId="65" xfId="0" applyFont="1" applyFill="1" applyBorder="1" applyAlignment="1">
      <alignment horizontal="center" vertical="center" textRotation="90"/>
    </xf>
    <xf numFmtId="0" fontId="35" fillId="40" borderId="58" xfId="0" applyFont="1" applyFill="1" applyBorder="1" applyAlignment="1">
      <alignment horizontal="right" vertical="center"/>
    </xf>
    <xf numFmtId="166" fontId="37" fillId="0" borderId="0" xfId="0" applyNumberFormat="1" applyFont="1" applyFill="1" applyAlignment="1">
      <alignment vertical="center"/>
    </xf>
    <xf numFmtId="0" fontId="35" fillId="41" borderId="58" xfId="0" applyFont="1" applyFill="1" applyBorder="1" applyAlignment="1">
      <alignment horizontal="right" vertical="center"/>
    </xf>
    <xf numFmtId="167" fontId="35" fillId="0" borderId="47" xfId="0" applyNumberFormat="1" applyFont="1" applyFill="1" applyBorder="1" applyAlignment="1">
      <alignment horizontal="center" vertical="center" wrapText="1"/>
    </xf>
    <xf numFmtId="166" fontId="37" fillId="0" borderId="0" xfId="0" applyNumberFormat="1" applyFont="1" applyFill="1" applyBorder="1" applyAlignment="1">
      <alignment vertical="center"/>
    </xf>
    <xf numFmtId="167" fontId="42" fillId="47" borderId="15" xfId="0" applyNumberFormat="1" applyFont="1" applyFill="1" applyBorder="1" applyAlignment="1">
      <alignment horizontal="center" vertical="center" wrapText="1"/>
    </xf>
    <xf numFmtId="166" fontId="37" fillId="0" borderId="1" xfId="0" applyNumberFormat="1" applyFont="1" applyBorder="1"/>
    <xf numFmtId="0" fontId="50" fillId="0" borderId="65" xfId="0" applyFont="1" applyBorder="1" applyAlignment="1">
      <alignment horizontal="center" vertical="center"/>
    </xf>
    <xf numFmtId="0" fontId="50" fillId="0" borderId="58" xfId="0" applyFont="1" applyBorder="1" applyAlignment="1">
      <alignment horizontal="center" vertical="center" wrapText="1"/>
    </xf>
    <xf numFmtId="0" fontId="50" fillId="0" borderId="68" xfId="0" applyFont="1" applyBorder="1" applyAlignment="1">
      <alignment horizontal="center" vertical="center" wrapText="1"/>
    </xf>
    <xf numFmtId="0" fontId="50" fillId="0" borderId="70" xfId="0" applyFont="1" applyBorder="1" applyAlignment="1">
      <alignment horizontal="center" vertical="center" wrapText="1"/>
    </xf>
    <xf numFmtId="44" fontId="37" fillId="0" borderId="0" xfId="0" applyNumberFormat="1" applyFont="1"/>
    <xf numFmtId="0" fontId="37" fillId="0" borderId="0" xfId="0" applyFont="1" applyAlignment="1">
      <alignment horizontal="center"/>
    </xf>
    <xf numFmtId="0" fontId="50" fillId="0" borderId="46" xfId="0" applyFont="1" applyBorder="1" applyAlignment="1">
      <alignment horizontal="center" vertical="center"/>
    </xf>
    <xf numFmtId="0" fontId="35" fillId="15" borderId="58" xfId="0" applyFont="1" applyFill="1" applyBorder="1" applyAlignment="1">
      <alignment horizontal="right" vertical="center"/>
    </xf>
    <xf numFmtId="7" fontId="44" fillId="0" borderId="69" xfId="0" applyNumberFormat="1" applyFont="1" applyBorder="1" applyAlignment="1">
      <alignment horizontal="center" vertical="center" wrapText="1"/>
    </xf>
    <xf numFmtId="166" fontId="44" fillId="0" borderId="68" xfId="0" applyNumberFormat="1" applyFont="1" applyBorder="1" applyAlignment="1">
      <alignment horizontal="center" vertical="center" wrapText="1"/>
    </xf>
    <xf numFmtId="166" fontId="42" fillId="47" borderId="58" xfId="0" applyNumberFormat="1" applyFont="1" applyFill="1" applyBorder="1" applyAlignment="1">
      <alignment horizontal="center" vertical="center" wrapText="1"/>
    </xf>
    <xf numFmtId="0" fontId="44" fillId="0" borderId="58" xfId="0" applyFont="1" applyFill="1" applyBorder="1" applyAlignment="1">
      <alignment horizontal="center" vertical="center" wrapText="1"/>
    </xf>
    <xf numFmtId="0" fontId="44" fillId="0" borderId="68" xfId="0" applyFont="1" applyFill="1" applyBorder="1" applyAlignment="1">
      <alignment horizontal="center" vertical="center" wrapText="1"/>
    </xf>
    <xf numFmtId="166" fontId="42" fillId="47" borderId="70" xfId="0" applyNumberFormat="1" applyFont="1" applyFill="1" applyBorder="1" applyAlignment="1">
      <alignment horizontal="center" vertical="center" wrapText="1"/>
    </xf>
    <xf numFmtId="0" fontId="35" fillId="33" borderId="48" xfId="0" applyFont="1" applyFill="1" applyBorder="1" applyAlignment="1">
      <alignment horizontal="right" vertical="center"/>
    </xf>
    <xf numFmtId="167" fontId="35" fillId="0" borderId="69" xfId="0" applyNumberFormat="1" applyFont="1" applyBorder="1" applyAlignment="1">
      <alignment horizontal="center" vertical="center" wrapText="1"/>
    </xf>
    <xf numFmtId="167" fontId="35" fillId="0" borderId="68" xfId="0" applyNumberFormat="1" applyFont="1" applyBorder="1" applyAlignment="1">
      <alignment horizontal="center" vertical="center" wrapText="1"/>
    </xf>
    <xf numFmtId="167" fontId="42" fillId="47" borderId="58" xfId="0" applyNumberFormat="1" applyFont="1" applyFill="1" applyBorder="1" applyAlignment="1">
      <alignment horizontal="center" vertical="center" wrapText="1"/>
    </xf>
    <xf numFmtId="171" fontId="35" fillId="0" borderId="58" xfId="3" applyNumberFormat="1" applyFont="1" applyBorder="1" applyAlignment="1">
      <alignment horizontal="center" wrapText="1"/>
    </xf>
    <xf numFmtId="171" fontId="35" fillId="0" borderId="68" xfId="3" applyNumberFormat="1" applyFont="1" applyBorder="1" applyAlignment="1">
      <alignment horizontal="center" wrapText="1"/>
    </xf>
    <xf numFmtId="7" fontId="42" fillId="47" borderId="70" xfId="1" applyNumberFormat="1" applyFont="1" applyFill="1" applyBorder="1" applyAlignment="1">
      <alignment horizontal="center" vertical="center"/>
    </xf>
    <xf numFmtId="0" fontId="35" fillId="40" borderId="48" xfId="0" applyFont="1" applyFill="1" applyBorder="1" applyAlignment="1">
      <alignment horizontal="right" vertical="center"/>
    </xf>
    <xf numFmtId="7" fontId="64" fillId="0" borderId="67" xfId="0" applyNumberFormat="1" applyFont="1" applyBorder="1" applyAlignment="1">
      <alignment horizontal="center" vertical="center"/>
    </xf>
    <xf numFmtId="0" fontId="63" fillId="0" borderId="21" xfId="0" applyFont="1" applyBorder="1" applyAlignment="1">
      <alignment vertical="center" textRotation="90"/>
    </xf>
    <xf numFmtId="0" fontId="50" fillId="0" borderId="5" xfId="0" applyFont="1" applyBorder="1" applyAlignment="1">
      <alignment horizontal="center" vertical="center" wrapText="1"/>
    </xf>
    <xf numFmtId="172" fontId="50" fillId="0" borderId="5" xfId="3" applyNumberFormat="1" applyFont="1" applyFill="1" applyBorder="1" applyAlignment="1">
      <alignment horizontal="center" vertical="center" wrapText="1"/>
    </xf>
    <xf numFmtId="44" fontId="64" fillId="0" borderId="34" xfId="0" applyNumberFormat="1" applyFont="1" applyBorder="1"/>
    <xf numFmtId="44" fontId="37" fillId="0" borderId="0" xfId="0" applyNumberFormat="1" applyFont="1" applyFill="1"/>
    <xf numFmtId="0" fontId="63" fillId="0" borderId="19" xfId="0" applyFont="1" applyBorder="1" applyAlignment="1">
      <alignment vertical="center" textRotation="90"/>
    </xf>
    <xf numFmtId="43" fontId="37" fillId="0" borderId="0" xfId="3" applyFont="1"/>
    <xf numFmtId="4" fontId="37" fillId="0" borderId="0" xfId="0" applyNumberFormat="1" applyFont="1"/>
    <xf numFmtId="166" fontId="48" fillId="50" borderId="1" xfId="0" applyNumberFormat="1" applyFont="1" applyFill="1" applyBorder="1" applyAlignment="1">
      <alignment horizontal="center" vertical="center"/>
    </xf>
    <xf numFmtId="7" fontId="66" fillId="52" borderId="1" xfId="1" applyNumberFormat="1" applyFont="1" applyFill="1" applyBorder="1" applyAlignment="1">
      <alignment horizontal="center" vertical="center" wrapText="1"/>
    </xf>
    <xf numFmtId="166" fontId="48" fillId="53" borderId="1" xfId="0" applyNumberFormat="1" applyFont="1" applyFill="1" applyBorder="1" applyAlignment="1">
      <alignment horizontal="center" vertical="center"/>
    </xf>
    <xf numFmtId="170" fontId="54" fillId="50" borderId="1" xfId="0" applyNumberFormat="1" applyFont="1" applyFill="1" applyBorder="1" applyAlignment="1">
      <alignment horizontal="center" vertical="center"/>
    </xf>
    <xf numFmtId="3" fontId="54" fillId="50" borderId="1" xfId="0" applyNumberFormat="1" applyFont="1" applyFill="1" applyBorder="1" applyAlignment="1">
      <alignment horizontal="right" vertical="center" wrapText="1"/>
    </xf>
    <xf numFmtId="3" fontId="35" fillId="50" borderId="1" xfId="0" applyNumberFormat="1" applyFont="1" applyFill="1" applyBorder="1" applyAlignment="1">
      <alignment horizontal="center" vertical="center" wrapText="1"/>
    </xf>
    <xf numFmtId="3" fontId="54" fillId="50" borderId="1" xfId="0" applyNumberFormat="1" applyFont="1" applyFill="1" applyBorder="1" applyAlignment="1">
      <alignment horizontal="center" vertical="center" wrapText="1"/>
    </xf>
    <xf numFmtId="170" fontId="42" fillId="50" borderId="1" xfId="0" applyNumberFormat="1" applyFont="1" applyFill="1" applyBorder="1" applyAlignment="1">
      <alignment horizontal="center" vertical="center"/>
    </xf>
    <xf numFmtId="0" fontId="37" fillId="50" borderId="1" xfId="0" applyFont="1" applyFill="1" applyBorder="1"/>
    <xf numFmtId="4" fontId="54" fillId="50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41" fillId="54" borderId="1" xfId="0" applyFont="1" applyFill="1" applyBorder="1" applyAlignment="1">
      <alignment horizontal="center" vertical="center"/>
    </xf>
    <xf numFmtId="0" fontId="41" fillId="54" borderId="4" xfId="0" applyFont="1" applyFill="1" applyBorder="1" applyAlignment="1">
      <alignment horizontal="center" vertical="center"/>
    </xf>
    <xf numFmtId="0" fontId="41" fillId="54" borderId="3" xfId="0" applyFont="1" applyFill="1" applyBorder="1" applyAlignment="1">
      <alignment horizontal="center" vertical="center"/>
    </xf>
    <xf numFmtId="0" fontId="41" fillId="54" borderId="2" xfId="0" applyFont="1" applyFill="1" applyBorder="1" applyAlignment="1">
      <alignment horizontal="center" vertical="center"/>
    </xf>
    <xf numFmtId="0" fontId="41" fillId="54" borderId="21" xfId="0" applyFont="1" applyFill="1" applyBorder="1" applyAlignment="1">
      <alignment horizontal="center" vertical="center"/>
    </xf>
    <xf numFmtId="0" fontId="30" fillId="55" borderId="1" xfId="0" applyFont="1" applyFill="1" applyBorder="1" applyAlignment="1">
      <alignment horizontal="center" vertical="center" wrapText="1"/>
    </xf>
    <xf numFmtId="0" fontId="30" fillId="55" borderId="74" xfId="0" applyFont="1" applyFill="1" applyBorder="1" applyAlignment="1">
      <alignment horizontal="center" vertical="center"/>
    </xf>
    <xf numFmtId="0" fontId="30" fillId="55" borderId="60" xfId="0" applyFont="1" applyFill="1" applyBorder="1" applyAlignment="1">
      <alignment horizontal="center" vertical="center"/>
    </xf>
    <xf numFmtId="0" fontId="43" fillId="55" borderId="1" xfId="0" applyFont="1" applyFill="1" applyBorder="1" applyAlignment="1">
      <alignment horizontal="center" vertical="center" wrapText="1"/>
    </xf>
    <xf numFmtId="0" fontId="43" fillId="55" borderId="74" xfId="0" applyFont="1" applyFill="1" applyBorder="1" applyAlignment="1">
      <alignment horizontal="center" vertical="center"/>
    </xf>
    <xf numFmtId="0" fontId="43" fillId="55" borderId="63" xfId="0" applyFont="1" applyFill="1" applyBorder="1" applyAlignment="1">
      <alignment horizontal="center" vertical="center" wrapText="1"/>
    </xf>
    <xf numFmtId="0" fontId="36" fillId="56" borderId="1" xfId="0" applyFont="1" applyFill="1" applyBorder="1" applyAlignment="1">
      <alignment horizontal="center" vertical="center"/>
    </xf>
    <xf numFmtId="0" fontId="40" fillId="56" borderId="1" xfId="0" applyFont="1" applyFill="1" applyBorder="1" applyAlignment="1">
      <alignment horizontal="center" vertical="center" wrapText="1"/>
    </xf>
    <xf numFmtId="0" fontId="40" fillId="56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6" fillId="56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166" fontId="42" fillId="28" borderId="1" xfId="0" applyNumberFormat="1" applyFont="1" applyFill="1" applyBorder="1" applyAlignment="1">
      <alignment horizontal="center" vertical="center"/>
    </xf>
    <xf numFmtId="10" fontId="35" fillId="0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59" borderId="1" xfId="0" applyFont="1" applyFill="1" applyBorder="1" applyAlignment="1">
      <alignment horizontal="center" vertical="center" wrapText="1"/>
    </xf>
    <xf numFmtId="14" fontId="34" fillId="59" borderId="1" xfId="0" applyNumberFormat="1" applyFont="1" applyFill="1" applyBorder="1" applyAlignment="1">
      <alignment horizontal="center" vertical="center" wrapText="1"/>
    </xf>
    <xf numFmtId="166" fontId="34" fillId="59" borderId="1" xfId="0" applyNumberFormat="1" applyFont="1" applyFill="1" applyBorder="1" applyAlignment="1">
      <alignment horizontal="center" vertical="center" wrapText="1"/>
    </xf>
    <xf numFmtId="10" fontId="35" fillId="58" borderId="1" xfId="0" applyNumberFormat="1" applyFont="1" applyFill="1" applyBorder="1" applyAlignment="1">
      <alignment horizontal="center" vertical="center"/>
    </xf>
    <xf numFmtId="164" fontId="35" fillId="58" borderId="1" xfId="0" applyNumberFormat="1" applyFont="1" applyFill="1" applyBorder="1" applyAlignment="1">
      <alignment horizontal="center" vertical="center"/>
    </xf>
    <xf numFmtId="0" fontId="35" fillId="59" borderId="1" xfId="0" applyFont="1" applyFill="1" applyBorder="1" applyAlignment="1">
      <alignment vertical="center"/>
    </xf>
    <xf numFmtId="166" fontId="34" fillId="59" borderId="1" xfId="1" applyNumberFormat="1" applyFont="1" applyFill="1" applyBorder="1" applyAlignment="1">
      <alignment horizontal="center" vertical="center"/>
    </xf>
    <xf numFmtId="3" fontId="34" fillId="59" borderId="1" xfId="1" applyNumberFormat="1" applyFont="1" applyFill="1" applyBorder="1" applyAlignment="1">
      <alignment horizontal="center" vertical="center"/>
    </xf>
    <xf numFmtId="166" fontId="34" fillId="59" borderId="49" xfId="0" applyNumberFormat="1" applyFont="1" applyFill="1" applyBorder="1" applyAlignment="1">
      <alignment horizontal="center" vertical="center"/>
    </xf>
    <xf numFmtId="166" fontId="34" fillId="59" borderId="1" xfId="0" applyNumberFormat="1" applyFont="1" applyFill="1" applyBorder="1" applyAlignment="1">
      <alignment horizontal="center" vertical="center"/>
    </xf>
    <xf numFmtId="7" fontId="35" fillId="59" borderId="1" xfId="1" applyNumberFormat="1" applyFont="1" applyFill="1" applyBorder="1" applyAlignment="1">
      <alignment horizontal="center" vertical="center"/>
    </xf>
    <xf numFmtId="0" fontId="35" fillId="60" borderId="33" xfId="0" applyFont="1" applyFill="1" applyBorder="1" applyAlignment="1">
      <alignment vertical="center"/>
    </xf>
    <xf numFmtId="166" fontId="35" fillId="60" borderId="2" xfId="0" applyNumberFormat="1" applyFont="1" applyFill="1" applyBorder="1" applyAlignment="1">
      <alignment horizontal="center" vertical="center"/>
    </xf>
    <xf numFmtId="166" fontId="35" fillId="60" borderId="1" xfId="0" applyNumberFormat="1" applyFont="1" applyFill="1" applyBorder="1" applyAlignment="1">
      <alignment horizontal="center" vertical="center"/>
    </xf>
    <xf numFmtId="0" fontId="35" fillId="60" borderId="2" xfId="0" applyFont="1" applyFill="1" applyBorder="1" applyAlignment="1">
      <alignment vertical="center"/>
    </xf>
    <xf numFmtId="10" fontId="44" fillId="59" borderId="2" xfId="0" applyNumberFormat="1" applyFont="1" applyFill="1" applyBorder="1" applyAlignment="1">
      <alignment horizontal="center" vertical="center"/>
    </xf>
    <xf numFmtId="10" fontId="34" fillId="59" borderId="1" xfId="0" applyNumberFormat="1" applyFont="1" applyFill="1" applyBorder="1" applyAlignment="1">
      <alignment horizontal="center" vertical="center" wrapText="1"/>
    </xf>
    <xf numFmtId="10" fontId="44" fillId="59" borderId="1" xfId="0" applyNumberFormat="1" applyFont="1" applyFill="1" applyBorder="1" applyAlignment="1">
      <alignment horizontal="center" vertical="center" wrapText="1"/>
    </xf>
    <xf numFmtId="0" fontId="35" fillId="60" borderId="3" xfId="0" applyFont="1" applyFill="1" applyBorder="1" applyAlignment="1">
      <alignment vertical="center"/>
    </xf>
    <xf numFmtId="0" fontId="35" fillId="60" borderId="4" xfId="0" applyFont="1" applyFill="1" applyBorder="1" applyAlignment="1">
      <alignment vertical="center"/>
    </xf>
    <xf numFmtId="0" fontId="35" fillId="60" borderId="1" xfId="0" applyFont="1" applyFill="1" applyBorder="1" applyAlignment="1">
      <alignment vertical="center"/>
    </xf>
    <xf numFmtId="0" fontId="34" fillId="0" borderId="76" xfId="0" applyFont="1" applyBorder="1" applyAlignment="1">
      <alignment horizontal="center" vertical="center"/>
    </xf>
    <xf numFmtId="0" fontId="34" fillId="46" borderId="77" xfId="0" applyFont="1" applyFill="1" applyBorder="1" applyAlignment="1">
      <alignment horizontal="center" vertical="center"/>
    </xf>
    <xf numFmtId="0" fontId="35" fillId="0" borderId="78" xfId="0" applyFont="1" applyBorder="1" applyAlignment="1">
      <alignment horizontal="justify" vertical="center" wrapText="1"/>
    </xf>
    <xf numFmtId="0" fontId="34" fillId="0" borderId="78" xfId="0" applyFont="1" applyBorder="1" applyAlignment="1">
      <alignment vertical="center" wrapText="1"/>
    </xf>
    <xf numFmtId="166" fontId="35" fillId="61" borderId="1" xfId="0" applyNumberFormat="1" applyFont="1" applyFill="1" applyBorder="1" applyAlignment="1">
      <alignment horizontal="center" vertical="center"/>
    </xf>
    <xf numFmtId="7" fontId="37" fillId="0" borderId="0" xfId="0" applyNumberFormat="1" applyFont="1"/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59" borderId="1" xfId="0" applyFont="1" applyFill="1" applyBorder="1" applyAlignment="1">
      <alignment horizontal="left" vertical="center" wrapText="1"/>
    </xf>
    <xf numFmtId="0" fontId="35" fillId="5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3" fillId="9" borderId="1" xfId="0" applyFont="1" applyFill="1" applyBorder="1" applyAlignment="1">
      <alignment horizontal="center" vertical="center"/>
    </xf>
    <xf numFmtId="0" fontId="48" fillId="51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35" fillId="0" borderId="3" xfId="0" applyFont="1" applyBorder="1" applyAlignment="1">
      <alignment horizontal="left" vertical="center"/>
    </xf>
    <xf numFmtId="0" fontId="35" fillId="0" borderId="4" xfId="0" applyFont="1" applyBorder="1" applyAlignment="1">
      <alignment horizontal="left" vertical="center"/>
    </xf>
    <xf numFmtId="0" fontId="35" fillId="0" borderId="2" xfId="0" applyFont="1" applyBorder="1" applyAlignment="1">
      <alignment horizontal="left" vertical="center"/>
    </xf>
    <xf numFmtId="0" fontId="35" fillId="0" borderId="3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0" fontId="34" fillId="59" borderId="1" xfId="0" applyFont="1" applyFill="1" applyBorder="1" applyAlignment="1">
      <alignment horizontal="center" vertical="center" wrapText="1"/>
    </xf>
    <xf numFmtId="0" fontId="33" fillId="9" borderId="20" xfId="0" applyFont="1" applyFill="1" applyBorder="1" applyAlignment="1">
      <alignment horizontal="center" vertical="center"/>
    </xf>
    <xf numFmtId="0" fontId="33" fillId="9" borderId="19" xfId="0" applyFont="1" applyFill="1" applyBorder="1" applyAlignment="1">
      <alignment horizontal="center" vertical="center"/>
    </xf>
    <xf numFmtId="0" fontId="33" fillId="9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0" fillId="56" borderId="1" xfId="0" applyFont="1" applyFill="1" applyBorder="1" applyAlignment="1">
      <alignment horizontal="center" vertical="center" wrapText="1"/>
    </xf>
    <xf numFmtId="0" fontId="40" fillId="56" borderId="1" xfId="0" applyFont="1" applyFill="1" applyBorder="1" applyAlignment="1">
      <alignment horizontal="center" vertical="center"/>
    </xf>
    <xf numFmtId="0" fontId="34" fillId="0" borderId="6" xfId="0" applyFont="1" applyBorder="1" applyAlignment="1">
      <alignment horizontal="right" vertical="center"/>
    </xf>
    <xf numFmtId="0" fontId="41" fillId="8" borderId="1" xfId="0" applyFont="1" applyFill="1" applyBorder="1" applyAlignment="1">
      <alignment horizontal="center" vertical="center"/>
    </xf>
    <xf numFmtId="0" fontId="43" fillId="56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164" fontId="44" fillId="58" borderId="1" xfId="0" applyNumberFormat="1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/>
    </xf>
    <xf numFmtId="0" fontId="42" fillId="28" borderId="9" xfId="0" applyFont="1" applyFill="1" applyBorder="1" applyAlignment="1">
      <alignment horizontal="right" vertical="center"/>
    </xf>
    <xf numFmtId="0" fontId="42" fillId="28" borderId="0" xfId="0" applyFont="1" applyFill="1" applyAlignment="1">
      <alignment horizontal="right" vertical="center"/>
    </xf>
    <xf numFmtId="0" fontId="42" fillId="28" borderId="7" xfId="0" applyFont="1" applyFill="1" applyBorder="1" applyAlignment="1">
      <alignment horizontal="right" vertical="center"/>
    </xf>
    <xf numFmtId="0" fontId="42" fillId="28" borderId="9" xfId="0" applyFont="1" applyFill="1" applyBorder="1" applyAlignment="1">
      <alignment horizontal="center" vertical="center"/>
    </xf>
    <xf numFmtId="0" fontId="42" fillId="28" borderId="0" xfId="0" applyFont="1" applyFill="1" applyAlignment="1">
      <alignment horizontal="center" vertical="center"/>
    </xf>
    <xf numFmtId="0" fontId="35" fillId="0" borderId="3" xfId="0" applyFont="1" applyBorder="1" applyAlignment="1">
      <alignment horizontal="right" vertical="center"/>
    </xf>
    <xf numFmtId="0" fontId="35" fillId="0" borderId="4" xfId="0" applyFont="1" applyBorder="1" applyAlignment="1">
      <alignment horizontal="right" vertical="center"/>
    </xf>
    <xf numFmtId="0" fontId="35" fillId="0" borderId="2" xfId="0" applyFont="1" applyBorder="1" applyAlignment="1">
      <alignment horizontal="right" vertical="center"/>
    </xf>
    <xf numFmtId="164" fontId="44" fillId="58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3" fillId="6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0" fontId="35" fillId="0" borderId="3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10" fontId="35" fillId="0" borderId="4" xfId="0" applyNumberFormat="1" applyFont="1" applyFill="1" applyBorder="1" applyAlignment="1">
      <alignment horizontal="center" vertical="center"/>
    </xf>
    <xf numFmtId="10" fontId="35" fillId="0" borderId="2" xfId="0" applyNumberFormat="1" applyFont="1" applyFill="1" applyBorder="1" applyAlignment="1">
      <alignment horizontal="center" vertical="center"/>
    </xf>
    <xf numFmtId="0" fontId="35" fillId="58" borderId="1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right" vertical="center"/>
    </xf>
    <xf numFmtId="0" fontId="35" fillId="59" borderId="3" xfId="0" applyFont="1" applyFill="1" applyBorder="1" applyAlignment="1">
      <alignment horizontal="left" vertical="center"/>
    </xf>
    <xf numFmtId="0" fontId="35" fillId="59" borderId="4" xfId="0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48" fillId="57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5" fillId="0" borderId="6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/>
    </xf>
    <xf numFmtId="0" fontId="34" fillId="0" borderId="33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9" fillId="20" borderId="1" xfId="0" applyFont="1" applyFill="1" applyBorder="1" applyAlignment="1">
      <alignment horizontal="center" vertical="center"/>
    </xf>
    <xf numFmtId="0" fontId="37" fillId="0" borderId="19" xfId="0" applyFont="1" applyBorder="1" applyAlignment="1">
      <alignment horizontal="center"/>
    </xf>
    <xf numFmtId="0" fontId="37" fillId="0" borderId="33" xfId="0" applyFont="1" applyBorder="1" applyAlignment="1">
      <alignment horizontal="center"/>
    </xf>
    <xf numFmtId="0" fontId="40" fillId="21" borderId="1" xfId="0" applyFont="1" applyFill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0" fontId="36" fillId="56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right" vertical="center"/>
    </xf>
    <xf numFmtId="0" fontId="42" fillId="28" borderId="1" xfId="0" applyFont="1" applyFill="1" applyBorder="1" applyAlignment="1">
      <alignment horizontal="center" vertical="center"/>
    </xf>
    <xf numFmtId="0" fontId="37" fillId="0" borderId="0" xfId="0" applyFont="1" applyAlignment="1">
      <alignment horizontal="center" wrapText="1"/>
    </xf>
    <xf numFmtId="0" fontId="34" fillId="0" borderId="1" xfId="0" applyFont="1" applyBorder="1" applyAlignment="1">
      <alignment vertical="center" wrapText="1"/>
    </xf>
    <xf numFmtId="0" fontId="48" fillId="51" borderId="3" xfId="0" applyFont="1" applyFill="1" applyBorder="1" applyAlignment="1">
      <alignment horizontal="center" vertical="center"/>
    </xf>
    <xf numFmtId="0" fontId="48" fillId="51" borderId="4" xfId="0" applyFont="1" applyFill="1" applyBorder="1" applyAlignment="1">
      <alignment horizontal="center" vertical="center"/>
    </xf>
    <xf numFmtId="0" fontId="48" fillId="51" borderId="2" xfId="0" applyFont="1" applyFill="1" applyBorder="1" applyAlignment="1">
      <alignment horizontal="center" vertical="center"/>
    </xf>
    <xf numFmtId="0" fontId="48" fillId="50" borderId="1" xfId="0" applyFont="1" applyFill="1" applyBorder="1" applyAlignment="1">
      <alignment horizontal="center" vertical="center"/>
    </xf>
    <xf numFmtId="0" fontId="33" fillId="9" borderId="3" xfId="0" applyFont="1" applyFill="1" applyBorder="1" applyAlignment="1">
      <alignment horizontal="center" vertical="center"/>
    </xf>
    <xf numFmtId="0" fontId="33" fillId="9" borderId="4" xfId="0" applyFont="1" applyFill="1" applyBorder="1" applyAlignment="1">
      <alignment horizontal="center" vertical="center"/>
    </xf>
    <xf numFmtId="0" fontId="33" fillId="9" borderId="2" xfId="0" applyFont="1" applyFill="1" applyBorder="1" applyAlignment="1">
      <alignment horizontal="center" vertical="center"/>
    </xf>
    <xf numFmtId="0" fontId="35" fillId="58" borderId="3" xfId="0" applyFont="1" applyFill="1" applyBorder="1" applyAlignment="1">
      <alignment horizontal="center" vertical="center"/>
    </xf>
    <xf numFmtId="0" fontId="35" fillId="58" borderId="4" xfId="0" applyFont="1" applyFill="1" applyBorder="1" applyAlignment="1">
      <alignment horizontal="center" vertical="center"/>
    </xf>
    <xf numFmtId="0" fontId="35" fillId="58" borderId="2" xfId="0" applyFont="1" applyFill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10" fontId="34" fillId="0" borderId="1" xfId="0" applyNumberFormat="1" applyFont="1" applyFill="1" applyBorder="1" applyAlignment="1">
      <alignment horizontal="center" vertical="center"/>
    </xf>
    <xf numFmtId="0" fontId="33" fillId="9" borderId="18" xfId="0" applyFont="1" applyFill="1" applyBorder="1" applyAlignment="1">
      <alignment horizontal="center" vertical="center"/>
    </xf>
    <xf numFmtId="0" fontId="43" fillId="22" borderId="3" xfId="0" applyFont="1" applyFill="1" applyBorder="1" applyAlignment="1">
      <alignment horizontal="right" vertical="center"/>
    </xf>
    <xf numFmtId="0" fontId="43" fillId="22" borderId="4" xfId="0" applyFont="1" applyFill="1" applyBorder="1" applyAlignment="1">
      <alignment horizontal="right" vertical="center"/>
    </xf>
    <xf numFmtId="0" fontId="43" fillId="22" borderId="2" xfId="0" applyFont="1" applyFill="1" applyBorder="1" applyAlignment="1">
      <alignment horizontal="right" vertical="center"/>
    </xf>
    <xf numFmtId="0" fontId="36" fillId="0" borderId="18" xfId="0" applyFont="1" applyBorder="1" applyAlignment="1">
      <alignment horizontal="right" vertical="center"/>
    </xf>
    <xf numFmtId="0" fontId="40" fillId="0" borderId="1" xfId="0" applyFont="1" applyBorder="1" applyAlignment="1">
      <alignment horizontal="center" vertical="center" wrapText="1"/>
    </xf>
    <xf numFmtId="10" fontId="34" fillId="59" borderId="1" xfId="0" applyNumberFormat="1" applyFont="1" applyFill="1" applyBorder="1" applyAlignment="1">
      <alignment horizontal="center" vertical="center"/>
    </xf>
    <xf numFmtId="0" fontId="50" fillId="0" borderId="1" xfId="0" applyFont="1" applyBorder="1" applyAlignment="1">
      <alignment horizontal="right" vertical="center" wrapText="1"/>
    </xf>
    <xf numFmtId="4" fontId="48" fillId="50" borderId="1" xfId="0" applyNumberFormat="1" applyFont="1" applyFill="1" applyBorder="1" applyAlignment="1">
      <alignment horizontal="right" vertical="center" wrapText="1"/>
    </xf>
    <xf numFmtId="0" fontId="43" fillId="0" borderId="1" xfId="0" applyFont="1" applyFill="1" applyBorder="1" applyAlignment="1">
      <alignment horizontal="right" vertical="center"/>
    </xf>
    <xf numFmtId="0" fontId="48" fillId="47" borderId="1" xfId="0" applyFont="1" applyFill="1" applyBorder="1" applyAlignment="1">
      <alignment horizontal="right" vertical="center" wrapText="1"/>
    </xf>
    <xf numFmtId="0" fontId="42" fillId="50" borderId="1" xfId="0" applyFont="1" applyFill="1" applyBorder="1" applyAlignment="1">
      <alignment horizontal="right" vertical="center"/>
    </xf>
    <xf numFmtId="0" fontId="42" fillId="50" borderId="1" xfId="0" applyFont="1" applyFill="1" applyBorder="1" applyAlignment="1">
      <alignment horizontal="center" vertical="center"/>
    </xf>
    <xf numFmtId="0" fontId="43" fillId="48" borderId="1" xfId="0" applyFont="1" applyFill="1" applyBorder="1" applyAlignment="1">
      <alignment horizontal="right" vertical="center"/>
    </xf>
    <xf numFmtId="0" fontId="36" fillId="0" borderId="1" xfId="0" applyFont="1" applyBorder="1" applyAlignment="1">
      <alignment horizontal="right" vertical="center"/>
    </xf>
    <xf numFmtId="0" fontId="34" fillId="0" borderId="1" xfId="0" applyFont="1" applyBorder="1" applyAlignment="1">
      <alignment horizontal="right" vertical="center" wrapText="1"/>
    </xf>
    <xf numFmtId="0" fontId="34" fillId="0" borderId="1" xfId="0" applyFont="1" applyBorder="1" applyAlignment="1">
      <alignment horizontal="left" vertical="center"/>
    </xf>
    <xf numFmtId="0" fontId="51" fillId="0" borderId="18" xfId="0" applyFont="1" applyBorder="1" applyAlignment="1">
      <alignment horizontal="center" vertical="center" textRotation="90"/>
    </xf>
    <xf numFmtId="0" fontId="51" fillId="0" borderId="10" xfId="0" applyFont="1" applyBorder="1" applyAlignment="1">
      <alignment horizontal="center" vertical="center" textRotation="90"/>
    </xf>
    <xf numFmtId="0" fontId="51" fillId="0" borderId="6" xfId="0" applyFont="1" applyBorder="1" applyAlignment="1">
      <alignment horizontal="center" vertical="center" textRotation="90"/>
    </xf>
    <xf numFmtId="0" fontId="43" fillId="32" borderId="1" xfId="0" applyFont="1" applyFill="1" applyBorder="1" applyAlignment="1">
      <alignment horizontal="center" vertical="center" wrapText="1"/>
    </xf>
    <xf numFmtId="0" fontId="33" fillId="15" borderId="20" xfId="0" applyFont="1" applyFill="1" applyBorder="1" applyAlignment="1">
      <alignment horizontal="center" vertical="center"/>
    </xf>
    <xf numFmtId="0" fontId="33" fillId="15" borderId="19" xfId="0" applyFont="1" applyFill="1" applyBorder="1" applyAlignment="1">
      <alignment horizontal="center" vertical="center"/>
    </xf>
    <xf numFmtId="0" fontId="33" fillId="15" borderId="33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33" fillId="2" borderId="19" xfId="0" applyFont="1" applyFill="1" applyBorder="1" applyAlignment="1">
      <alignment horizontal="center" vertical="center"/>
    </xf>
    <xf numFmtId="0" fontId="33" fillId="2" borderId="33" xfId="0" applyFont="1" applyFill="1" applyBorder="1" applyAlignment="1">
      <alignment horizontal="center" vertical="center"/>
    </xf>
    <xf numFmtId="0" fontId="33" fillId="16" borderId="20" xfId="0" applyFont="1" applyFill="1" applyBorder="1" applyAlignment="1">
      <alignment horizontal="center" vertical="center"/>
    </xf>
    <xf numFmtId="0" fontId="33" fillId="16" borderId="19" xfId="0" applyFont="1" applyFill="1" applyBorder="1" applyAlignment="1">
      <alignment horizontal="center" vertical="center"/>
    </xf>
    <xf numFmtId="0" fontId="33" fillId="16" borderId="33" xfId="0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 textRotation="90"/>
    </xf>
    <xf numFmtId="0" fontId="51" fillId="0" borderId="3" xfId="0" applyFont="1" applyBorder="1" applyAlignment="1">
      <alignment horizontal="center" vertical="center" textRotation="90"/>
    </xf>
    <xf numFmtId="0" fontId="36" fillId="0" borderId="1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2" fillId="38" borderId="6" xfId="0" applyFont="1" applyFill="1" applyBorder="1" applyAlignment="1">
      <alignment horizontal="center" vertical="center" wrapText="1"/>
    </xf>
    <xf numFmtId="0" fontId="42" fillId="38" borderId="18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54" fillId="50" borderId="1" xfId="0" applyFont="1" applyFill="1" applyBorder="1" applyAlignment="1">
      <alignment horizontal="center" vertical="center"/>
    </xf>
    <xf numFmtId="0" fontId="33" fillId="35" borderId="20" xfId="0" applyFont="1" applyFill="1" applyBorder="1" applyAlignment="1">
      <alignment horizontal="center" vertical="center"/>
    </xf>
    <xf numFmtId="0" fontId="33" fillId="35" borderId="19" xfId="0" applyFont="1" applyFill="1" applyBorder="1" applyAlignment="1">
      <alignment horizontal="center" vertical="center"/>
    </xf>
    <xf numFmtId="0" fontId="33" fillId="35" borderId="33" xfId="0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33" fillId="17" borderId="20" xfId="0" applyFont="1" applyFill="1" applyBorder="1" applyAlignment="1">
      <alignment horizontal="center" vertical="center"/>
    </xf>
    <xf numFmtId="0" fontId="33" fillId="17" borderId="19" xfId="0" applyFont="1" applyFill="1" applyBorder="1" applyAlignment="1">
      <alignment horizontal="center" vertical="center"/>
    </xf>
    <xf numFmtId="0" fontId="33" fillId="17" borderId="33" xfId="0" applyFont="1" applyFill="1" applyBorder="1" applyAlignment="1">
      <alignment horizontal="center" vertical="center"/>
    </xf>
    <xf numFmtId="0" fontId="35" fillId="0" borderId="26" xfId="0" applyFont="1" applyBorder="1" applyAlignment="1">
      <alignment horizontal="right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36" borderId="20" xfId="0" applyFont="1" applyFill="1" applyBorder="1" applyAlignment="1">
      <alignment horizontal="center" vertical="center"/>
    </xf>
    <xf numFmtId="0" fontId="33" fillId="36" borderId="19" xfId="0" applyFont="1" applyFill="1" applyBorder="1" applyAlignment="1">
      <alignment horizontal="center" vertical="center"/>
    </xf>
    <xf numFmtId="0" fontId="33" fillId="36" borderId="33" xfId="0" applyFont="1" applyFill="1" applyBorder="1" applyAlignment="1">
      <alignment horizontal="center" vertical="center"/>
    </xf>
    <xf numFmtId="0" fontId="33" fillId="37" borderId="20" xfId="0" applyFont="1" applyFill="1" applyBorder="1" applyAlignment="1">
      <alignment horizontal="center" vertical="center"/>
    </xf>
    <xf numFmtId="0" fontId="33" fillId="37" borderId="19" xfId="0" applyFont="1" applyFill="1" applyBorder="1" applyAlignment="1">
      <alignment horizontal="center" vertical="center"/>
    </xf>
    <xf numFmtId="0" fontId="33" fillId="37" borderId="33" xfId="0" applyFont="1" applyFill="1" applyBorder="1" applyAlignment="1">
      <alignment horizontal="center" vertical="center"/>
    </xf>
    <xf numFmtId="0" fontId="43" fillId="32" borderId="11" xfId="0" applyFont="1" applyFill="1" applyBorder="1" applyAlignment="1">
      <alignment horizontal="center" vertical="center" wrapText="1"/>
    </xf>
    <xf numFmtId="0" fontId="43" fillId="32" borderId="64" xfId="0" applyFont="1" applyFill="1" applyBorder="1" applyAlignment="1">
      <alignment horizontal="center" vertical="center" wrapText="1"/>
    </xf>
    <xf numFmtId="0" fontId="33" fillId="33" borderId="20" xfId="0" applyFont="1" applyFill="1" applyBorder="1" applyAlignment="1">
      <alignment horizontal="center" vertical="center"/>
    </xf>
    <xf numFmtId="0" fontId="33" fillId="33" borderId="19" xfId="0" applyFont="1" applyFill="1" applyBorder="1" applyAlignment="1">
      <alignment horizontal="center" vertical="center"/>
    </xf>
    <xf numFmtId="0" fontId="33" fillId="33" borderId="33" xfId="0" applyFont="1" applyFill="1" applyBorder="1" applyAlignment="1">
      <alignment horizontal="center" vertical="center"/>
    </xf>
    <xf numFmtId="0" fontId="42" fillId="38" borderId="1" xfId="0" applyFont="1" applyFill="1" applyBorder="1" applyAlignment="1">
      <alignment horizontal="center" vertical="center" wrapText="1"/>
    </xf>
    <xf numFmtId="0" fontId="33" fillId="34" borderId="20" xfId="0" applyFont="1" applyFill="1" applyBorder="1" applyAlignment="1">
      <alignment horizontal="center" vertical="center"/>
    </xf>
    <xf numFmtId="0" fontId="33" fillId="34" borderId="19" xfId="0" applyFont="1" applyFill="1" applyBorder="1" applyAlignment="1">
      <alignment horizontal="center" vertical="center"/>
    </xf>
    <xf numFmtId="0" fontId="33" fillId="34" borderId="33" xfId="0" applyFont="1" applyFill="1" applyBorder="1" applyAlignment="1">
      <alignment horizontal="center" vertical="center"/>
    </xf>
    <xf numFmtId="0" fontId="35" fillId="11" borderId="1" xfId="0" applyFont="1" applyFill="1" applyBorder="1" applyAlignment="1">
      <alignment horizontal="left" vertical="center" wrapText="1"/>
    </xf>
    <xf numFmtId="0" fontId="33" fillId="39" borderId="20" xfId="0" applyFont="1" applyFill="1" applyBorder="1" applyAlignment="1">
      <alignment horizontal="center" vertical="center"/>
    </xf>
    <xf numFmtId="0" fontId="33" fillId="39" borderId="19" xfId="0" applyFont="1" applyFill="1" applyBorder="1" applyAlignment="1">
      <alignment horizontal="center" vertical="center"/>
    </xf>
    <xf numFmtId="0" fontId="33" fillId="39" borderId="33" xfId="0" applyFont="1" applyFill="1" applyBorder="1" applyAlignment="1">
      <alignment horizontal="center" vertical="center"/>
    </xf>
    <xf numFmtId="0" fontId="35" fillId="25" borderId="3" xfId="0" applyFont="1" applyFill="1" applyBorder="1" applyAlignment="1">
      <alignment horizontal="left" vertical="center" wrapText="1"/>
    </xf>
    <xf numFmtId="0" fontId="35" fillId="25" borderId="4" xfId="0" applyFont="1" applyFill="1" applyBorder="1" applyAlignment="1">
      <alignment horizontal="left" vertical="center" wrapText="1"/>
    </xf>
    <xf numFmtId="0" fontId="35" fillId="25" borderId="2" xfId="0" applyFont="1" applyFill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54" fillId="50" borderId="2" xfId="0" applyFont="1" applyFill="1" applyBorder="1" applyAlignment="1">
      <alignment horizontal="center" vertical="center"/>
    </xf>
    <xf numFmtId="0" fontId="33" fillId="40" borderId="20" xfId="0" applyFont="1" applyFill="1" applyBorder="1" applyAlignment="1">
      <alignment horizontal="center" vertical="center"/>
    </xf>
    <xf numFmtId="0" fontId="33" fillId="40" borderId="19" xfId="0" applyFont="1" applyFill="1" applyBorder="1" applyAlignment="1">
      <alignment horizontal="center" vertical="center"/>
    </xf>
    <xf numFmtId="0" fontId="33" fillId="40" borderId="33" xfId="0" applyFont="1" applyFill="1" applyBorder="1" applyAlignment="1">
      <alignment horizontal="center" vertical="center"/>
    </xf>
    <xf numFmtId="0" fontId="35" fillId="11" borderId="3" xfId="0" applyFont="1" applyFill="1" applyBorder="1" applyAlignment="1">
      <alignment horizontal="left" vertical="center" wrapText="1"/>
    </xf>
    <xf numFmtId="0" fontId="35" fillId="11" borderId="4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center" vertical="center"/>
    </xf>
    <xf numFmtId="0" fontId="43" fillId="32" borderId="20" xfId="0" applyFont="1" applyFill="1" applyBorder="1" applyAlignment="1">
      <alignment horizontal="center" vertical="center" wrapText="1"/>
    </xf>
    <xf numFmtId="0" fontId="43" fillId="32" borderId="33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5" fillId="11" borderId="5" xfId="0" applyFont="1" applyFill="1" applyBorder="1" applyAlignment="1">
      <alignment horizontal="left" vertical="center" wrapText="1"/>
    </xf>
    <xf numFmtId="0" fontId="33" fillId="41" borderId="20" xfId="0" applyFont="1" applyFill="1" applyBorder="1" applyAlignment="1">
      <alignment horizontal="center" vertical="center"/>
    </xf>
    <xf numFmtId="0" fontId="33" fillId="41" borderId="19" xfId="0" applyFont="1" applyFill="1" applyBorder="1" applyAlignment="1">
      <alignment horizontal="center" vertical="center"/>
    </xf>
    <xf numFmtId="0" fontId="33" fillId="41" borderId="33" xfId="0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 wrapText="1"/>
    </xf>
    <xf numFmtId="0" fontId="34" fillId="0" borderId="4" xfId="0" applyFont="1" applyBorder="1" applyAlignment="1">
      <alignment horizontal="center" vertical="center"/>
    </xf>
    <xf numFmtId="0" fontId="33" fillId="40" borderId="1" xfId="0" applyFont="1" applyFill="1" applyBorder="1" applyAlignment="1">
      <alignment horizontal="center" vertical="center"/>
    </xf>
    <xf numFmtId="0" fontId="54" fillId="28" borderId="19" xfId="0" applyFont="1" applyFill="1" applyBorder="1" applyAlignment="1">
      <alignment horizontal="center" vertical="center"/>
    </xf>
    <xf numFmtId="3" fontId="54" fillId="28" borderId="19" xfId="0" applyNumberFormat="1" applyFont="1" applyFill="1" applyBorder="1" applyAlignment="1">
      <alignment horizontal="right" vertical="center" wrapText="1"/>
    </xf>
    <xf numFmtId="3" fontId="54" fillId="28" borderId="33" xfId="0" applyNumberFormat="1" applyFont="1" applyFill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/>
    </xf>
    <xf numFmtId="0" fontId="34" fillId="0" borderId="0" xfId="0" applyFont="1" applyFill="1" applyBorder="1" applyAlignment="1">
      <alignment horizontal="right" vertical="center"/>
    </xf>
    <xf numFmtId="0" fontId="54" fillId="28" borderId="4" xfId="0" applyFont="1" applyFill="1" applyBorder="1" applyAlignment="1">
      <alignment horizontal="center" vertical="center"/>
    </xf>
    <xf numFmtId="0" fontId="54" fillId="28" borderId="2" xfId="0" applyFont="1" applyFill="1" applyBorder="1" applyAlignment="1">
      <alignment horizontal="center" vertical="center"/>
    </xf>
    <xf numFmtId="3" fontId="54" fillId="28" borderId="3" xfId="0" applyNumberFormat="1" applyFont="1" applyFill="1" applyBorder="1" applyAlignment="1">
      <alignment horizontal="right" vertical="center" wrapText="1"/>
    </xf>
    <xf numFmtId="3" fontId="54" fillId="28" borderId="2" xfId="0" applyNumberFormat="1" applyFont="1" applyFill="1" applyBorder="1" applyAlignment="1">
      <alignment horizontal="right" vertical="center" wrapText="1"/>
    </xf>
    <xf numFmtId="0" fontId="33" fillId="39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3" fontId="35" fillId="0" borderId="3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3" fontId="35" fillId="0" borderId="2" xfId="0" applyNumberFormat="1" applyFont="1" applyBorder="1" applyAlignment="1">
      <alignment horizontal="center" vertical="center" wrapText="1"/>
    </xf>
    <xf numFmtId="0" fontId="33" fillId="34" borderId="28" xfId="0" applyFont="1" applyFill="1" applyBorder="1" applyAlignment="1">
      <alignment horizontal="center" vertical="center"/>
    </xf>
    <xf numFmtId="0" fontId="33" fillId="34" borderId="31" xfId="0" applyFont="1" applyFill="1" applyBorder="1" applyAlignment="1">
      <alignment horizontal="center" vertical="center"/>
    </xf>
    <xf numFmtId="0" fontId="33" fillId="34" borderId="30" xfId="0" applyFont="1" applyFill="1" applyBorder="1" applyAlignment="1">
      <alignment horizontal="center" vertical="center"/>
    </xf>
    <xf numFmtId="0" fontId="33" fillId="35" borderId="28" xfId="0" applyFont="1" applyFill="1" applyBorder="1" applyAlignment="1">
      <alignment horizontal="center" vertical="center"/>
    </xf>
    <xf numFmtId="0" fontId="33" fillId="35" borderId="31" xfId="0" applyFont="1" applyFill="1" applyBorder="1" applyAlignment="1">
      <alignment horizontal="center" vertical="center"/>
    </xf>
    <xf numFmtId="0" fontId="33" fillId="35" borderId="30" xfId="0" applyFont="1" applyFill="1" applyBorder="1" applyAlignment="1">
      <alignment horizontal="center" vertical="center"/>
    </xf>
    <xf numFmtId="0" fontId="33" fillId="33" borderId="28" xfId="0" applyFont="1" applyFill="1" applyBorder="1" applyAlignment="1">
      <alignment horizontal="center" vertical="center"/>
    </xf>
    <xf numFmtId="0" fontId="33" fillId="33" borderId="31" xfId="0" applyFont="1" applyFill="1" applyBorder="1" applyAlignment="1">
      <alignment horizontal="center" vertical="center"/>
    </xf>
    <xf numFmtId="0" fontId="33" fillId="33" borderId="30" xfId="0" applyFont="1" applyFill="1" applyBorder="1" applyAlignment="1">
      <alignment horizontal="center" vertical="center"/>
    </xf>
    <xf numFmtId="0" fontId="54" fillId="28" borderId="22" xfId="0" applyFont="1" applyFill="1" applyBorder="1" applyAlignment="1">
      <alignment horizontal="center" vertical="center"/>
    </xf>
    <xf numFmtId="3" fontId="54" fillId="28" borderId="1" xfId="0" applyNumberFormat="1" applyFont="1" applyFill="1" applyBorder="1" applyAlignment="1">
      <alignment horizontal="right" vertical="center" wrapText="1"/>
    </xf>
    <xf numFmtId="0" fontId="36" fillId="0" borderId="13" xfId="0" applyFont="1" applyBorder="1" applyAlignment="1">
      <alignment horizontal="center" vertical="center"/>
    </xf>
    <xf numFmtId="0" fontId="33" fillId="37" borderId="28" xfId="0" applyFont="1" applyFill="1" applyBorder="1" applyAlignment="1">
      <alignment horizontal="center" vertical="center"/>
    </xf>
    <xf numFmtId="0" fontId="33" fillId="37" borderId="31" xfId="0" applyFont="1" applyFill="1" applyBorder="1" applyAlignment="1">
      <alignment horizontal="center" vertical="center"/>
    </xf>
    <xf numFmtId="0" fontId="33" fillId="37" borderId="30" xfId="0" applyFont="1" applyFill="1" applyBorder="1" applyAlignment="1">
      <alignment horizontal="center" vertical="center"/>
    </xf>
    <xf numFmtId="0" fontId="51" fillId="0" borderId="35" xfId="0" applyFont="1" applyBorder="1" applyAlignment="1">
      <alignment horizontal="center" vertical="center" textRotation="90"/>
    </xf>
    <xf numFmtId="0" fontId="36" fillId="0" borderId="6" xfId="0" applyFont="1" applyBorder="1" applyAlignment="1">
      <alignment horizontal="center" vertical="center"/>
    </xf>
    <xf numFmtId="0" fontId="48" fillId="51" borderId="27" xfId="0" applyFont="1" applyFill="1" applyBorder="1" applyAlignment="1">
      <alignment horizontal="center" vertical="center"/>
    </xf>
    <xf numFmtId="0" fontId="48" fillId="51" borderId="13" xfId="0" applyFont="1" applyFill="1" applyBorder="1" applyAlignment="1">
      <alignment horizontal="center" vertical="center"/>
    </xf>
    <xf numFmtId="0" fontId="48" fillId="51" borderId="45" xfId="0" applyFont="1" applyFill="1" applyBorder="1" applyAlignment="1">
      <alignment horizontal="center" vertical="center"/>
    </xf>
    <xf numFmtId="0" fontId="34" fillId="0" borderId="26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51" fillId="0" borderId="29" xfId="0" applyFont="1" applyBorder="1" applyAlignment="1">
      <alignment horizontal="center" vertical="center" textRotation="90"/>
    </xf>
    <xf numFmtId="0" fontId="51" fillId="0" borderId="26" xfId="0" applyFont="1" applyBorder="1" applyAlignment="1">
      <alignment horizontal="center" vertical="center" textRotation="90"/>
    </xf>
    <xf numFmtId="0" fontId="51" fillId="0" borderId="71" xfId="0" applyFont="1" applyBorder="1" applyAlignment="1">
      <alignment horizontal="center" vertical="center" textRotation="90"/>
    </xf>
    <xf numFmtId="0" fontId="43" fillId="0" borderId="9" xfId="0" applyFont="1" applyBorder="1" applyAlignment="1">
      <alignment horizontal="center" vertical="center" wrapText="1"/>
    </xf>
    <xf numFmtId="0" fontId="33" fillId="36" borderId="28" xfId="0" applyFont="1" applyFill="1" applyBorder="1" applyAlignment="1">
      <alignment horizontal="center" vertical="center"/>
    </xf>
    <xf numFmtId="0" fontId="33" fillId="36" borderId="31" xfId="0" applyFont="1" applyFill="1" applyBorder="1" applyAlignment="1">
      <alignment horizontal="center" vertical="center"/>
    </xf>
    <xf numFmtId="0" fontId="33" fillId="36" borderId="30" xfId="0" applyFont="1" applyFill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0" fontId="33" fillId="15" borderId="3" xfId="0" applyFont="1" applyFill="1" applyBorder="1" applyAlignment="1">
      <alignment horizontal="center" vertical="center"/>
    </xf>
    <xf numFmtId="0" fontId="33" fillId="15" borderId="4" xfId="0" applyFont="1" applyFill="1" applyBorder="1" applyAlignment="1">
      <alignment horizontal="center" vertical="center"/>
    </xf>
    <xf numFmtId="0" fontId="33" fillId="15" borderId="2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 wrapText="1"/>
    </xf>
    <xf numFmtId="0" fontId="44" fillId="12" borderId="1" xfId="0" applyFont="1" applyFill="1" applyBorder="1" applyAlignment="1">
      <alignment horizontal="left" vertical="center"/>
    </xf>
    <xf numFmtId="0" fontId="43" fillId="54" borderId="1" xfId="0" applyFont="1" applyFill="1" applyBorder="1" applyAlignment="1">
      <alignment horizontal="center" vertical="center"/>
    </xf>
    <xf numFmtId="0" fontId="43" fillId="54" borderId="18" xfId="0" applyFont="1" applyFill="1" applyBorder="1" applyAlignment="1">
      <alignment horizontal="center" vertical="center"/>
    </xf>
    <xf numFmtId="0" fontId="33" fillId="6" borderId="3" xfId="0" applyFont="1" applyFill="1" applyBorder="1" applyAlignment="1">
      <alignment horizontal="center" vertical="center"/>
    </xf>
    <xf numFmtId="0" fontId="33" fillId="6" borderId="4" xfId="0" applyFont="1" applyFill="1" applyBorder="1" applyAlignment="1">
      <alignment horizontal="center" vertical="center"/>
    </xf>
    <xf numFmtId="0" fontId="33" fillId="6" borderId="2" xfId="0" applyFont="1" applyFill="1" applyBorder="1" applyAlignment="1">
      <alignment horizontal="center" vertical="center"/>
    </xf>
    <xf numFmtId="0" fontId="43" fillId="11" borderId="18" xfId="0" applyFont="1" applyFill="1" applyBorder="1" applyAlignment="1">
      <alignment horizontal="center" vertical="center"/>
    </xf>
    <xf numFmtId="0" fontId="43" fillId="11" borderId="1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35" fillId="60" borderId="3" xfId="0" applyFont="1" applyFill="1" applyBorder="1" applyAlignment="1">
      <alignment horizontal="left" vertical="center"/>
    </xf>
    <xf numFmtId="0" fontId="35" fillId="60" borderId="4" xfId="0" applyFont="1" applyFill="1" applyBorder="1" applyAlignment="1">
      <alignment horizontal="left" vertical="center"/>
    </xf>
    <xf numFmtId="0" fontId="44" fillId="12" borderId="1" xfId="0" applyFont="1" applyFill="1" applyBorder="1" applyAlignment="1">
      <alignment horizontal="left" vertical="center" wrapText="1"/>
    </xf>
    <xf numFmtId="0" fontId="44" fillId="12" borderId="3" xfId="0" applyFont="1" applyFill="1" applyBorder="1" applyAlignment="1">
      <alignment horizontal="left" vertical="center"/>
    </xf>
    <xf numFmtId="0" fontId="44" fillId="12" borderId="4" xfId="0" applyFont="1" applyFill="1" applyBorder="1" applyAlignment="1">
      <alignment horizontal="left" vertical="center"/>
    </xf>
    <xf numFmtId="0" fontId="44" fillId="12" borderId="2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center"/>
    </xf>
    <xf numFmtId="0" fontId="35" fillId="0" borderId="21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33" xfId="0" applyFont="1" applyBorder="1" applyAlignment="1">
      <alignment horizontal="left" vertical="center" wrapText="1"/>
    </xf>
    <xf numFmtId="0" fontId="41" fillId="0" borderId="20" xfId="0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/>
    </xf>
    <xf numFmtId="0" fontId="41" fillId="0" borderId="21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6" borderId="2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horizontal="center" vertical="center"/>
    </xf>
    <xf numFmtId="0" fontId="41" fillId="6" borderId="7" xfId="0" applyFont="1" applyFill="1" applyBorder="1" applyAlignment="1">
      <alignment horizontal="center" vertical="center"/>
    </xf>
    <xf numFmtId="0" fontId="43" fillId="11" borderId="3" xfId="0" applyFont="1" applyFill="1" applyBorder="1" applyAlignment="1">
      <alignment horizontal="center" vertical="center"/>
    </xf>
    <xf numFmtId="0" fontId="43" fillId="11" borderId="4" xfId="0" applyFont="1" applyFill="1" applyBorder="1" applyAlignment="1">
      <alignment horizontal="center" vertical="center"/>
    </xf>
    <xf numFmtId="0" fontId="43" fillId="11" borderId="2" xfId="0" applyFont="1" applyFill="1" applyBorder="1" applyAlignment="1">
      <alignment horizontal="center" vertical="center"/>
    </xf>
    <xf numFmtId="0" fontId="41" fillId="6" borderId="19" xfId="0" applyFont="1" applyFill="1" applyBorder="1" applyAlignment="1">
      <alignment horizontal="center" vertical="center"/>
    </xf>
    <xf numFmtId="0" fontId="41" fillId="6" borderId="33" xfId="0" applyFont="1" applyFill="1" applyBorder="1" applyAlignment="1">
      <alignment horizontal="center" vertical="center"/>
    </xf>
    <xf numFmtId="0" fontId="35" fillId="3" borderId="21" xfId="0" applyFont="1" applyFill="1" applyBorder="1" applyAlignment="1">
      <alignment horizontal="left" vertical="center"/>
    </xf>
    <xf numFmtId="0" fontId="35" fillId="3" borderId="5" xfId="0" applyFont="1" applyFill="1" applyBorder="1" applyAlignment="1">
      <alignment horizontal="left" vertical="center"/>
    </xf>
    <xf numFmtId="0" fontId="43" fillId="11" borderId="20" xfId="0" applyFont="1" applyFill="1" applyBorder="1" applyAlignment="1">
      <alignment horizontal="center" vertical="center"/>
    </xf>
    <xf numFmtId="0" fontId="43" fillId="11" borderId="19" xfId="0" applyFont="1" applyFill="1" applyBorder="1" applyAlignment="1">
      <alignment horizontal="center" vertical="center"/>
    </xf>
    <xf numFmtId="0" fontId="43" fillId="11" borderId="33" xfId="0" applyFont="1" applyFill="1" applyBorder="1" applyAlignment="1">
      <alignment horizontal="center" vertical="center"/>
    </xf>
    <xf numFmtId="0" fontId="35" fillId="60" borderId="20" xfId="0" applyFont="1" applyFill="1" applyBorder="1" applyAlignment="1">
      <alignment horizontal="left" vertical="center"/>
    </xf>
    <xf numFmtId="0" fontId="35" fillId="60" borderId="19" xfId="0" applyFont="1" applyFill="1" applyBorder="1" applyAlignment="1">
      <alignment horizontal="left" vertical="center"/>
    </xf>
    <xf numFmtId="0" fontId="35" fillId="0" borderId="49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0" fontId="41" fillId="6" borderId="3" xfId="0" applyFont="1" applyFill="1" applyBorder="1" applyAlignment="1">
      <alignment horizontal="center" vertical="center"/>
    </xf>
    <xf numFmtId="0" fontId="41" fillId="6" borderId="4" xfId="0" applyFont="1" applyFill="1" applyBorder="1" applyAlignment="1">
      <alignment horizontal="center" vertical="center"/>
    </xf>
    <xf numFmtId="0" fontId="41" fillId="6" borderId="2" xfId="0" applyFont="1" applyFill="1" applyBorder="1" applyAlignment="1">
      <alignment horizontal="center" vertical="center"/>
    </xf>
    <xf numFmtId="10" fontId="35" fillId="59" borderId="1" xfId="0" applyNumberFormat="1" applyFont="1" applyFill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20" xfId="0" applyFont="1" applyBorder="1" applyAlignment="1">
      <alignment horizontal="left" vertical="center"/>
    </xf>
    <xf numFmtId="0" fontId="35" fillId="0" borderId="19" xfId="0" applyFont="1" applyBorder="1" applyAlignment="1">
      <alignment horizontal="left" vertical="center"/>
    </xf>
    <xf numFmtId="0" fontId="35" fillId="0" borderId="33" xfId="0" applyFont="1" applyBorder="1" applyAlignment="1">
      <alignment horizontal="left" vertical="center"/>
    </xf>
    <xf numFmtId="166" fontId="35" fillId="0" borderId="1" xfId="0" applyNumberFormat="1" applyFont="1" applyBorder="1" applyAlignment="1">
      <alignment horizontal="center" vertical="center"/>
    </xf>
    <xf numFmtId="166" fontId="34" fillId="0" borderId="18" xfId="0" applyNumberFormat="1" applyFont="1" applyBorder="1" applyAlignment="1">
      <alignment horizontal="center" vertical="center" wrapText="1"/>
    </xf>
    <xf numFmtId="166" fontId="34" fillId="0" borderId="6" xfId="0" applyNumberFormat="1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8" fillId="53" borderId="3" xfId="0" applyFont="1" applyFill="1" applyBorder="1" applyAlignment="1">
      <alignment horizontal="center" vertical="center"/>
    </xf>
    <xf numFmtId="0" fontId="48" fillId="53" borderId="4" xfId="0" applyFont="1" applyFill="1" applyBorder="1" applyAlignment="1">
      <alignment horizontal="center" vertical="center"/>
    </xf>
    <xf numFmtId="0" fontId="48" fillId="53" borderId="2" xfId="0" applyFont="1" applyFill="1" applyBorder="1" applyAlignment="1">
      <alignment horizontal="center" vertical="center"/>
    </xf>
    <xf numFmtId="0" fontId="34" fillId="0" borderId="20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34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48" fillId="53" borderId="1" xfId="0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54" fillId="50" borderId="1" xfId="0" applyFont="1" applyFill="1" applyBorder="1" applyAlignment="1">
      <alignment horizontal="right" vertical="center"/>
    </xf>
    <xf numFmtId="0" fontId="43" fillId="23" borderId="3" xfId="0" applyFont="1" applyFill="1" applyBorder="1" applyAlignment="1">
      <alignment horizontal="center" vertical="center"/>
    </xf>
    <xf numFmtId="0" fontId="43" fillId="23" borderId="4" xfId="0" applyFont="1" applyFill="1" applyBorder="1" applyAlignment="1">
      <alignment horizontal="center" vertical="center"/>
    </xf>
    <xf numFmtId="0" fontId="43" fillId="23" borderId="2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 wrapText="1"/>
    </xf>
    <xf numFmtId="0" fontId="41" fillId="6" borderId="4" xfId="0" applyFont="1" applyFill="1" applyBorder="1" applyAlignment="1">
      <alignment horizontal="center" vertical="center" wrapText="1"/>
    </xf>
    <xf numFmtId="0" fontId="41" fillId="6" borderId="2" xfId="0" applyFont="1" applyFill="1" applyBorder="1" applyAlignment="1">
      <alignment horizontal="center" vertical="center" wrapText="1"/>
    </xf>
    <xf numFmtId="0" fontId="43" fillId="25" borderId="1" xfId="0" applyFont="1" applyFill="1" applyBorder="1" applyAlignment="1">
      <alignment horizontal="center" vertical="center"/>
    </xf>
    <xf numFmtId="168" fontId="44" fillId="0" borderId="3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0" fontId="44" fillId="0" borderId="3" xfId="0" applyNumberFormat="1" applyFont="1" applyFill="1" applyBorder="1" applyAlignment="1">
      <alignment horizontal="center" vertical="center"/>
    </xf>
    <xf numFmtId="10" fontId="44" fillId="0" borderId="2" xfId="0" applyNumberFormat="1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left" vertical="center"/>
    </xf>
    <xf numFmtId="0" fontId="35" fillId="60" borderId="2" xfId="0" applyFont="1" applyFill="1" applyBorder="1" applyAlignment="1">
      <alignment horizontal="left" vertical="center"/>
    </xf>
    <xf numFmtId="0" fontId="34" fillId="0" borderId="2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166" fontId="35" fillId="0" borderId="0" xfId="0" applyNumberFormat="1" applyFont="1" applyFill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6" fontId="34" fillId="0" borderId="9" xfId="0" applyNumberFormat="1" applyFont="1" applyBorder="1" applyAlignment="1">
      <alignment horizontal="center" vertical="center" wrapText="1"/>
    </xf>
    <xf numFmtId="166" fontId="34" fillId="0" borderId="0" xfId="0" applyNumberFormat="1" applyFont="1" applyBorder="1" applyAlignment="1">
      <alignment horizontal="center" vertical="center" wrapText="1"/>
    </xf>
    <xf numFmtId="0" fontId="35" fillId="61" borderId="3" xfId="0" applyFont="1" applyFill="1" applyBorder="1" applyAlignment="1">
      <alignment horizontal="left" vertical="center"/>
    </xf>
    <xf numFmtId="0" fontId="35" fillId="61" borderId="4" xfId="0" applyFont="1" applyFill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2" fillId="0" borderId="20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8" fillId="26" borderId="1" xfId="0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horizontal="center" vertical="center"/>
    </xf>
    <xf numFmtId="0" fontId="28" fillId="26" borderId="4" xfId="0" applyFont="1" applyFill="1" applyBorder="1" applyAlignment="1">
      <alignment horizontal="center" vertical="center"/>
    </xf>
    <xf numFmtId="0" fontId="28" fillId="26" borderId="2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14" borderId="3" xfId="0" applyFont="1" applyFill="1" applyBorder="1" applyAlignment="1">
      <alignment horizontal="left" vertical="center"/>
    </xf>
    <xf numFmtId="0" fontId="2" fillId="14" borderId="4" xfId="0" applyFont="1" applyFill="1" applyBorder="1" applyAlignment="1">
      <alignment horizontal="left" vertical="center"/>
    </xf>
    <xf numFmtId="0" fontId="2" fillId="14" borderId="2" xfId="0" applyFont="1" applyFill="1" applyBorder="1" applyAlignment="1">
      <alignment horizontal="left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6" fillId="23" borderId="3" xfId="0" applyFont="1" applyFill="1" applyBorder="1" applyAlignment="1">
      <alignment horizontal="center" vertical="center"/>
    </xf>
    <xf numFmtId="0" fontId="16" fillId="23" borderId="4" xfId="0" applyFont="1" applyFill="1" applyBorder="1" applyAlignment="1">
      <alignment horizontal="center" vertical="center"/>
    </xf>
    <xf numFmtId="0" fontId="16" fillId="23" borderId="2" xfId="0" applyFont="1" applyFill="1" applyBorder="1" applyAlignment="1">
      <alignment horizontal="center" vertical="center"/>
    </xf>
    <xf numFmtId="0" fontId="4" fillId="25" borderId="1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8" fontId="5" fillId="10" borderId="3" xfId="0" applyNumberFormat="1" applyFont="1" applyFill="1" applyBorder="1" applyAlignment="1">
      <alignment horizontal="center" vertical="center"/>
    </xf>
    <xf numFmtId="168" fontId="5" fillId="10" borderId="2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10" fontId="5" fillId="10" borderId="3" xfId="0" applyNumberFormat="1" applyFont="1" applyFill="1" applyBorder="1" applyAlignment="1">
      <alignment horizontal="center" vertical="center"/>
    </xf>
    <xf numFmtId="10" fontId="5" fillId="10" borderId="2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/>
    </xf>
    <xf numFmtId="0" fontId="22" fillId="0" borderId="4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0" fontId="2" fillId="1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11" borderId="20" xfId="0" applyFont="1" applyFill="1" applyBorder="1" applyAlignment="1">
      <alignment horizontal="center" vertical="center"/>
    </xf>
    <xf numFmtId="0" fontId="4" fillId="11" borderId="19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2" fillId="14" borderId="20" xfId="0" applyFont="1" applyFill="1" applyBorder="1" applyAlignment="1">
      <alignment horizontal="left" vertical="center"/>
    </xf>
    <xf numFmtId="0" fontId="2" fillId="14" borderId="19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left" vertical="center"/>
    </xf>
    <xf numFmtId="0" fontId="13" fillId="12" borderId="4" xfId="0" applyFont="1" applyFill="1" applyBorder="1" applyAlignment="1">
      <alignment horizontal="left" vertical="center"/>
    </xf>
    <xf numFmtId="0" fontId="13" fillId="12" borderId="2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3" fillId="36" borderId="1" xfId="0" applyFont="1" applyFill="1" applyBorder="1" applyAlignment="1">
      <alignment horizontal="center" vertical="center"/>
    </xf>
    <xf numFmtId="0" fontId="33" fillId="39" borderId="3" xfId="0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0" fontId="33" fillId="39" borderId="2" xfId="0" applyFont="1" applyFill="1" applyBorder="1" applyAlignment="1">
      <alignment horizontal="center" vertical="center"/>
    </xf>
    <xf numFmtId="0" fontId="33" fillId="35" borderId="1" xfId="0" applyFont="1" applyFill="1" applyBorder="1" applyAlignment="1">
      <alignment horizontal="center" vertical="center"/>
    </xf>
    <xf numFmtId="0" fontId="33" fillId="37" borderId="3" xfId="0" applyFont="1" applyFill="1" applyBorder="1" applyAlignment="1">
      <alignment horizontal="center" vertical="center"/>
    </xf>
    <xf numFmtId="0" fontId="33" fillId="37" borderId="4" xfId="0" applyFont="1" applyFill="1" applyBorder="1" applyAlignment="1">
      <alignment horizontal="center" vertical="center"/>
    </xf>
    <xf numFmtId="0" fontId="33" fillId="37" borderId="2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 vertical="center"/>
    </xf>
    <xf numFmtId="0" fontId="33" fillId="34" borderId="1" xfId="0" applyFont="1" applyFill="1" applyBorder="1" applyAlignment="1">
      <alignment horizontal="center" vertical="center"/>
    </xf>
    <xf numFmtId="0" fontId="33" fillId="41" borderId="1" xfId="0" applyFont="1" applyFill="1" applyBorder="1" applyAlignment="1">
      <alignment horizontal="center" vertical="center"/>
    </xf>
    <xf numFmtId="0" fontId="33" fillId="16" borderId="3" xfId="0" applyFont="1" applyFill="1" applyBorder="1" applyAlignment="1">
      <alignment horizontal="center" vertical="center"/>
    </xf>
    <xf numFmtId="0" fontId="33" fillId="16" borderId="4" xfId="0" applyFont="1" applyFill="1" applyBorder="1" applyAlignment="1">
      <alignment horizontal="center" vertical="center"/>
    </xf>
    <xf numFmtId="0" fontId="33" fillId="16" borderId="2" xfId="0" applyFont="1" applyFill="1" applyBorder="1" applyAlignment="1">
      <alignment horizontal="center" vertical="center"/>
    </xf>
    <xf numFmtId="0" fontId="62" fillId="27" borderId="1" xfId="0" applyFont="1" applyFill="1" applyBorder="1" applyAlignment="1">
      <alignment horizontal="center" vertical="center"/>
    </xf>
    <xf numFmtId="0" fontId="51" fillId="0" borderId="40" xfId="0" applyFont="1" applyBorder="1" applyAlignment="1">
      <alignment horizontal="center" vertical="center" textRotation="90"/>
    </xf>
    <xf numFmtId="0" fontId="51" fillId="0" borderId="41" xfId="0" applyFont="1" applyBorder="1" applyAlignment="1">
      <alignment horizontal="center" vertical="center" textRotation="90"/>
    </xf>
    <xf numFmtId="0" fontId="33" fillId="33" borderId="3" xfId="0" applyFont="1" applyFill="1" applyBorder="1" applyAlignment="1">
      <alignment horizontal="center" vertical="center"/>
    </xf>
    <xf numFmtId="0" fontId="33" fillId="33" borderId="4" xfId="0" applyFont="1" applyFill="1" applyBorder="1" applyAlignment="1">
      <alignment horizontal="center" vertical="center"/>
    </xf>
    <xf numFmtId="0" fontId="33" fillId="33" borderId="2" xfId="0" applyFont="1" applyFill="1" applyBorder="1" applyAlignment="1">
      <alignment horizontal="center" vertical="center"/>
    </xf>
    <xf numFmtId="0" fontId="51" fillId="0" borderId="57" xfId="0" applyFont="1" applyBorder="1" applyAlignment="1">
      <alignment horizontal="center" vertical="center" textRotation="90"/>
    </xf>
    <xf numFmtId="0" fontId="33" fillId="35" borderId="3" xfId="0" applyFont="1" applyFill="1" applyBorder="1" applyAlignment="1">
      <alignment horizontal="center" vertical="center"/>
    </xf>
    <xf numFmtId="0" fontId="33" fillId="35" borderId="4" xfId="0" applyFont="1" applyFill="1" applyBorder="1" applyAlignment="1">
      <alignment horizontal="center" vertical="center"/>
    </xf>
    <xf numFmtId="0" fontId="33" fillId="35" borderId="2" xfId="0" applyFont="1" applyFill="1" applyBorder="1" applyAlignment="1">
      <alignment horizontal="center" vertical="center"/>
    </xf>
    <xf numFmtId="0" fontId="33" fillId="36" borderId="3" xfId="0" applyFont="1" applyFill="1" applyBorder="1" applyAlignment="1">
      <alignment horizontal="center" vertical="center"/>
    </xf>
    <xf numFmtId="0" fontId="33" fillId="36" borderId="4" xfId="0" applyFont="1" applyFill="1" applyBorder="1" applyAlignment="1">
      <alignment horizontal="center" vertical="center"/>
    </xf>
    <xf numFmtId="0" fontId="33" fillId="36" borderId="2" xfId="0" applyFont="1" applyFill="1" applyBorder="1" applyAlignment="1">
      <alignment horizontal="center" vertical="center"/>
    </xf>
    <xf numFmtId="0" fontId="35" fillId="11" borderId="3" xfId="0" applyFont="1" applyFill="1" applyBorder="1" applyAlignment="1">
      <alignment horizontal="center" vertical="center" wrapText="1"/>
    </xf>
    <xf numFmtId="0" fontId="35" fillId="11" borderId="4" xfId="0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center" vertical="center" wrapText="1"/>
    </xf>
    <xf numFmtId="0" fontId="33" fillId="34" borderId="3" xfId="0" applyFont="1" applyFill="1" applyBorder="1" applyAlignment="1">
      <alignment horizontal="center" vertical="center"/>
    </xf>
    <xf numFmtId="0" fontId="33" fillId="34" borderId="4" xfId="0" applyFont="1" applyFill="1" applyBorder="1" applyAlignment="1">
      <alignment horizontal="center" vertical="center"/>
    </xf>
    <xf numFmtId="0" fontId="33" fillId="34" borderId="2" xfId="0" applyFont="1" applyFill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center" vertical="center"/>
    </xf>
    <xf numFmtId="166" fontId="37" fillId="0" borderId="9" xfId="0" applyNumberFormat="1" applyFont="1" applyFill="1" applyBorder="1" applyAlignment="1">
      <alignment horizontal="right" vertical="center"/>
    </xf>
    <xf numFmtId="167" fontId="35" fillId="0" borderId="10" xfId="0" applyNumberFormat="1" applyFont="1" applyBorder="1" applyAlignment="1">
      <alignment horizontal="center" vertical="center" wrapText="1"/>
    </xf>
    <xf numFmtId="167" fontId="35" fillId="0" borderId="15" xfId="0" applyNumberFormat="1" applyFont="1" applyBorder="1" applyAlignment="1">
      <alignment horizontal="center" vertical="center" wrapText="1"/>
    </xf>
    <xf numFmtId="167" fontId="35" fillId="0" borderId="64" xfId="0" applyNumberFormat="1" applyFont="1" applyBorder="1" applyAlignment="1">
      <alignment horizontal="center" vertical="center" wrapText="1"/>
    </xf>
    <xf numFmtId="167" fontId="35" fillId="0" borderId="36" xfId="0" applyNumberFormat="1" applyFont="1" applyBorder="1" applyAlignment="1">
      <alignment horizontal="center" vertical="center" wrapText="1"/>
    </xf>
    <xf numFmtId="167" fontId="35" fillId="0" borderId="67" xfId="0" applyNumberFormat="1" applyFont="1" applyBorder="1" applyAlignment="1">
      <alignment horizontal="center" vertical="center" wrapText="1"/>
    </xf>
    <xf numFmtId="0" fontId="64" fillId="20" borderId="39" xfId="0" applyFont="1" applyFill="1" applyBorder="1" applyAlignment="1">
      <alignment horizontal="center" vertical="center" wrapText="1"/>
    </xf>
    <xf numFmtId="0" fontId="64" fillId="20" borderId="24" xfId="0" applyFont="1" applyFill="1" applyBorder="1" applyAlignment="1">
      <alignment horizontal="center" vertical="center" wrapText="1"/>
    </xf>
    <xf numFmtId="0" fontId="64" fillId="20" borderId="16" xfId="0" applyFont="1" applyFill="1" applyBorder="1" applyAlignment="1">
      <alignment horizontal="center" vertical="center" wrapText="1"/>
    </xf>
    <xf numFmtId="0" fontId="64" fillId="20" borderId="25" xfId="0" applyFont="1" applyFill="1" applyBorder="1" applyAlignment="1">
      <alignment horizontal="center" vertical="center" wrapText="1"/>
    </xf>
    <xf numFmtId="167" fontId="35" fillId="0" borderId="68" xfId="0" applyNumberFormat="1" applyFont="1" applyBorder="1" applyAlignment="1">
      <alignment horizontal="center" vertical="center" wrapText="1"/>
    </xf>
    <xf numFmtId="167" fontId="35" fillId="0" borderId="69" xfId="0" applyNumberFormat="1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50" fillId="0" borderId="56" xfId="0" applyFont="1" applyBorder="1" applyAlignment="1">
      <alignment horizontal="center" vertical="center" wrapText="1"/>
    </xf>
    <xf numFmtId="0" fontId="50" fillId="0" borderId="54" xfId="0" applyFont="1" applyBorder="1" applyAlignment="1">
      <alignment horizontal="center" vertical="center" wrapText="1"/>
    </xf>
    <xf numFmtId="167" fontId="35" fillId="0" borderId="56" xfId="0" applyNumberFormat="1" applyFont="1" applyBorder="1" applyAlignment="1">
      <alignment horizontal="center" vertical="center" wrapText="1"/>
    </xf>
    <xf numFmtId="167" fontId="35" fillId="0" borderId="54" xfId="0" applyNumberFormat="1" applyFont="1" applyBorder="1" applyAlignment="1">
      <alignment horizontal="center" vertical="center" wrapText="1"/>
    </xf>
    <xf numFmtId="167" fontId="35" fillId="0" borderId="28" xfId="0" applyNumberFormat="1" applyFont="1" applyBorder="1" applyAlignment="1">
      <alignment horizontal="center" vertical="center" wrapText="1"/>
    </xf>
    <xf numFmtId="167" fontId="35" fillId="0" borderId="30" xfId="0" applyNumberFormat="1" applyFont="1" applyBorder="1" applyAlignment="1">
      <alignment horizontal="center" vertical="center" wrapText="1"/>
    </xf>
    <xf numFmtId="0" fontId="50" fillId="13" borderId="16" xfId="0" applyFont="1" applyFill="1" applyBorder="1" applyAlignment="1">
      <alignment horizontal="center" vertical="center" wrapText="1"/>
    </xf>
    <xf numFmtId="0" fontId="50" fillId="13" borderId="56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15" xfId="0" applyFont="1" applyFill="1" applyBorder="1" applyAlignment="1">
      <alignment horizontal="center" vertical="center" wrapText="1"/>
    </xf>
    <xf numFmtId="0" fontId="36" fillId="20" borderId="57" xfId="0" applyFont="1" applyFill="1" applyBorder="1" applyAlignment="1">
      <alignment horizontal="center" vertical="center" wrapText="1"/>
    </xf>
    <xf numFmtId="0" fontId="36" fillId="20" borderId="51" xfId="0" applyFont="1" applyFill="1" applyBorder="1" applyAlignment="1">
      <alignment horizontal="center" vertical="center" wrapText="1"/>
    </xf>
    <xf numFmtId="0" fontId="36" fillId="20" borderId="54" xfId="0" applyFont="1" applyFill="1" applyBorder="1" applyAlignment="1">
      <alignment horizontal="center" vertical="center" wrapText="1"/>
    </xf>
    <xf numFmtId="0" fontId="50" fillId="0" borderId="39" xfId="0" applyFont="1" applyBorder="1" applyAlignment="1">
      <alignment horizontal="center" vertical="center"/>
    </xf>
    <xf numFmtId="0" fontId="50" fillId="0" borderId="50" xfId="0" applyFont="1" applyBorder="1" applyAlignment="1">
      <alignment horizontal="center" vertical="center"/>
    </xf>
    <xf numFmtId="0" fontId="50" fillId="0" borderId="40" xfId="0" applyFont="1" applyBorder="1" applyAlignment="1">
      <alignment horizontal="center" vertical="center" textRotation="90"/>
    </xf>
    <xf numFmtId="0" fontId="50" fillId="0" borderId="41" xfId="0" applyFont="1" applyBorder="1" applyAlignment="1">
      <alignment horizontal="center" vertical="center" textRotation="90"/>
    </xf>
    <xf numFmtId="0" fontId="50" fillId="0" borderId="42" xfId="0" applyFont="1" applyBorder="1" applyAlignment="1">
      <alignment horizontal="center" vertical="center" textRotation="90"/>
    </xf>
    <xf numFmtId="0" fontId="42" fillId="50" borderId="1" xfId="0" applyFont="1" applyFill="1" applyBorder="1" applyAlignment="1">
      <alignment horizontal="right" vertical="center" wrapText="1"/>
    </xf>
    <xf numFmtId="0" fontId="66" fillId="51" borderId="1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/>
    </xf>
    <xf numFmtId="0" fontId="35" fillId="3" borderId="0" xfId="0" applyFont="1" applyFill="1" applyAlignment="1">
      <alignment horizontal="center"/>
    </xf>
    <xf numFmtId="0" fontId="66" fillId="52" borderId="19" xfId="0" applyFont="1" applyFill="1" applyBorder="1" applyAlignment="1">
      <alignment horizontal="center" vertical="center" textRotation="90"/>
    </xf>
    <xf numFmtId="0" fontId="66" fillId="52" borderId="0" xfId="0" applyFont="1" applyFill="1" applyAlignment="1">
      <alignment horizontal="center" vertical="center" textRotation="90"/>
    </xf>
    <xf numFmtId="0" fontId="66" fillId="52" borderId="19" xfId="0" applyFont="1" applyFill="1" applyBorder="1" applyAlignment="1">
      <alignment horizontal="center" vertical="center"/>
    </xf>
    <xf numFmtId="0" fontId="66" fillId="52" borderId="33" xfId="0" applyFont="1" applyFill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64" fillId="20" borderId="8" xfId="0" applyFont="1" applyFill="1" applyBorder="1" applyAlignment="1">
      <alignment horizontal="center" vertical="center" wrapText="1"/>
    </xf>
    <xf numFmtId="0" fontId="50" fillId="13" borderId="12" xfId="0" applyFont="1" applyFill="1" applyBorder="1" applyAlignment="1">
      <alignment horizontal="center" vertical="center" wrapText="1"/>
    </xf>
    <xf numFmtId="0" fontId="50" fillId="13" borderId="54" xfId="0" applyFont="1" applyFill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72" xfId="0" applyFont="1" applyBorder="1" applyAlignment="1">
      <alignment horizontal="center" vertical="center" textRotation="90"/>
    </xf>
    <xf numFmtId="0" fontId="50" fillId="0" borderId="52" xfId="0" applyFont="1" applyBorder="1" applyAlignment="1">
      <alignment horizontal="center" vertical="center" textRotation="90"/>
    </xf>
    <xf numFmtId="0" fontId="50" fillId="0" borderId="53" xfId="0" applyFont="1" applyBorder="1" applyAlignment="1">
      <alignment horizontal="center" vertical="center" textRotation="90"/>
    </xf>
    <xf numFmtId="0" fontId="50" fillId="0" borderId="35" xfId="0" applyFont="1" applyFill="1" applyBorder="1" applyAlignment="1">
      <alignment horizontal="center" vertical="center" textRotation="90"/>
    </xf>
    <xf numFmtId="0" fontId="50" fillId="0" borderId="50" xfId="0" applyFont="1" applyFill="1" applyBorder="1" applyAlignment="1">
      <alignment horizontal="center" vertical="center" textRotation="90"/>
    </xf>
    <xf numFmtId="0" fontId="50" fillId="0" borderId="64" xfId="0" applyFont="1" applyBorder="1" applyAlignment="1">
      <alignment horizontal="center" vertical="center" wrapText="1"/>
    </xf>
    <xf numFmtId="0" fontId="50" fillId="0" borderId="67" xfId="0" applyFont="1" applyBorder="1" applyAlignment="1">
      <alignment horizontal="center" vertical="center" wrapText="1"/>
    </xf>
    <xf numFmtId="167" fontId="42" fillId="47" borderId="73" xfId="0" applyNumberFormat="1" applyFont="1" applyFill="1" applyBorder="1" applyAlignment="1">
      <alignment horizontal="center" vertical="center" wrapText="1"/>
    </xf>
    <xf numFmtId="167" fontId="42" fillId="47" borderId="64" xfId="0" applyNumberFormat="1" applyFont="1" applyFill="1" applyBorder="1" applyAlignment="1">
      <alignment horizontal="center" vertical="center" wrapText="1"/>
    </xf>
    <xf numFmtId="167" fontId="42" fillId="47" borderId="0" xfId="0" applyNumberFormat="1" applyFont="1" applyFill="1" applyBorder="1" applyAlignment="1">
      <alignment horizontal="center" vertical="center" wrapText="1"/>
    </xf>
    <xf numFmtId="167" fontId="42" fillId="47" borderId="36" xfId="0" applyNumberFormat="1" applyFont="1" applyFill="1" applyBorder="1" applyAlignment="1">
      <alignment horizontal="center" vertical="center" wrapText="1"/>
    </xf>
    <xf numFmtId="167" fontId="42" fillId="47" borderId="51" xfId="0" applyNumberFormat="1" applyFont="1" applyFill="1" applyBorder="1" applyAlignment="1">
      <alignment horizontal="center" vertical="center" wrapText="1"/>
    </xf>
    <xf numFmtId="167" fontId="42" fillId="47" borderId="67" xfId="0" applyNumberFormat="1" applyFont="1" applyFill="1" applyBorder="1" applyAlignment="1">
      <alignment horizontal="center" vertical="center" wrapText="1"/>
    </xf>
    <xf numFmtId="167" fontId="42" fillId="49" borderId="68" xfId="0" applyNumberFormat="1" applyFont="1" applyFill="1" applyBorder="1" applyAlignment="1">
      <alignment horizontal="center" vertical="center" wrapText="1"/>
    </xf>
    <xf numFmtId="167" fontId="42" fillId="49" borderId="47" xfId="0" applyNumberFormat="1" applyFont="1" applyFill="1" applyBorder="1" applyAlignment="1">
      <alignment horizontal="center" vertical="center" wrapText="1"/>
    </xf>
    <xf numFmtId="0" fontId="50" fillId="42" borderId="46" xfId="0" applyFont="1" applyFill="1" applyBorder="1" applyAlignment="1">
      <alignment horizontal="center" vertical="center" wrapText="1"/>
    </xf>
    <xf numFmtId="0" fontId="50" fillId="42" borderId="47" xfId="0" applyFont="1" applyFill="1" applyBorder="1" applyAlignment="1">
      <alignment horizontal="center" vertical="center" wrapText="1"/>
    </xf>
    <xf numFmtId="0" fontId="50" fillId="42" borderId="48" xfId="0" applyFont="1" applyFill="1" applyBorder="1" applyAlignment="1">
      <alignment horizontal="center" vertical="center" wrapText="1"/>
    </xf>
    <xf numFmtId="0" fontId="66" fillId="52" borderId="4" xfId="0" applyFont="1" applyFill="1" applyBorder="1" applyAlignment="1">
      <alignment horizontal="center" vertical="center" wrapText="1"/>
    </xf>
    <xf numFmtId="0" fontId="66" fillId="52" borderId="2" xfId="0" applyFont="1" applyFill="1" applyBorder="1" applyAlignment="1">
      <alignment horizontal="center" vertical="center" wrapText="1"/>
    </xf>
    <xf numFmtId="167" fontId="35" fillId="0" borderId="7" xfId="0" applyNumberFormat="1" applyFont="1" applyFill="1" applyBorder="1" applyAlignment="1">
      <alignment horizontal="center" vertical="center" wrapText="1"/>
    </xf>
    <xf numFmtId="167" fontId="35" fillId="0" borderId="54" xfId="0" applyNumberFormat="1" applyFont="1" applyFill="1" applyBorder="1" applyAlignment="1">
      <alignment horizontal="center" vertical="center" wrapText="1"/>
    </xf>
    <xf numFmtId="167" fontId="35" fillId="0" borderId="66" xfId="0" applyNumberFormat="1" applyFont="1" applyFill="1" applyBorder="1" applyAlignment="1">
      <alignment horizontal="center" vertical="center" wrapText="1"/>
    </xf>
    <xf numFmtId="167" fontId="35" fillId="0" borderId="55" xfId="0" applyNumberFormat="1" applyFont="1" applyFill="1" applyBorder="1" applyAlignment="1">
      <alignment horizontal="center" vertical="center" wrapText="1"/>
    </xf>
    <xf numFmtId="167" fontId="35" fillId="0" borderId="24" xfId="0" applyNumberFormat="1" applyFont="1" applyBorder="1" applyAlignment="1">
      <alignment horizontal="center" vertical="center" wrapText="1"/>
    </xf>
    <xf numFmtId="167" fontId="35" fillId="0" borderId="3" xfId="0" applyNumberFormat="1" applyFont="1" applyBorder="1" applyAlignment="1">
      <alignment horizontal="center" vertical="center" wrapText="1"/>
    </xf>
    <xf numFmtId="167" fontId="35" fillId="0" borderId="2" xfId="0" applyNumberFormat="1" applyFont="1" applyBorder="1" applyAlignment="1">
      <alignment horizontal="center" vertical="center" wrapText="1"/>
    </xf>
    <xf numFmtId="167" fontId="35" fillId="0" borderId="21" xfId="0" applyNumberFormat="1" applyFont="1" applyBorder="1" applyAlignment="1">
      <alignment horizontal="center" vertical="center" wrapText="1"/>
    </xf>
    <xf numFmtId="167" fontId="35" fillId="0" borderId="3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8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2" xr:uid="{00000000-0005-0000-0000-000002000000}"/>
    <cellStyle name="Vírgula" xfId="3" builtinId="3"/>
  </cellStyles>
  <dxfs count="0"/>
  <tableStyles count="0" defaultTableStyle="TableStyleMedium2" defaultPivotStyle="PivotStyleLight16"/>
  <colors>
    <mruColors>
      <color rgb="FFCCFFFF"/>
      <color rgb="FF663300"/>
      <color rgb="FF003366"/>
      <color rgb="FF800000"/>
      <color rgb="FF000066"/>
      <color rgb="FF003399"/>
      <color rgb="FFFF0066"/>
      <color rgb="FFFF3399"/>
      <color rgb="FFF73BAF"/>
      <color rgb="FF9E8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82B9CEE1-C5CD-4700-8419-F994DC54C4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2DE1D97C-C81F-4D52-852F-6EFAEE21FD5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A39580EF-C8F1-46CB-8784-F55F316BE7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D3276E1F-6D1C-4703-A3E0-0FEFFF8345A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71662E46-EB26-49C2-B7F3-2D5B8B88D9A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A857CCE3-2D22-4BBB-8C9D-3F4A4DB57C9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CEE1E0BB-2382-412D-B08F-69D60DF9FAD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B0749F6D-BF8F-46E5-AF4C-6021AB45CC5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7A7E1974-CF03-438F-A87A-F0A90CB2223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5D6501DC-0BDF-43F9-8DEC-49A5CD8EE5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C20C5F0-93BA-44F0-A194-3B9BFD829DC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201681-9AA6-4DE3-B4FE-368D02B0851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FD855940-7FA3-43C7-9BED-4347C3E92FC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2C319A91-5E64-4F96-901A-E8E3B940393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1A95F33-F64B-4D0F-B8BE-303F3F95E64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25F0317F-9593-4DFE-85C0-9E277751F97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8B91303B-B5CF-403A-B590-28AEC7F0A15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AD517619-77B5-4B91-A3F4-6D4F674A5F6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AE040E53-4549-4A35-AF98-932C18575E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464F28CC-5B53-4D90-85C4-459485D2F3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C4C34173-3DC8-489E-8498-7516FED2406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A015F809-0AE4-48DB-8116-F904A7BDAD4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2CD0CA99-10C0-487E-8657-14869B7F7CD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F3452F4B-14E4-4F48-80CE-D3610F168BD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45139230-6478-4EEB-951B-90A29DAD97A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F8A85D1B-D8F6-4266-B181-C5947166CE4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1ABBF877-8614-4BC4-AC01-49284F36FFA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9AFAE213-564A-4892-ACA3-2E2A102A4F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8A12A754-E64E-4A72-972F-3FB89677E00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52E4BFF8-8E61-4A84-B22F-CF90C6098EA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D6DD3BB1-E0C4-44E6-87D0-5C692EDD8B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3BA54D15-A493-408B-B794-2B11DDB56A0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83A9A7DF-54D3-45F6-A68D-B65BEC89CA9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34F3FDD5-BD02-40E5-8857-7E2FAA830C9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09921182-E489-481D-8F9A-D6DF1A02B28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6C9AAF12-87B9-4593-9F4A-38BE40538F3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8E376730-F9A0-471A-854E-44A83DC06AE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62E913F-B70A-423A-A2FB-743C969526B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22E80E07-BBED-4515-86D8-67B81090DA8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352CDAD7-5041-4683-B330-58F3A630FF6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7D09530-3AAC-483C-A43F-C722D492521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B10DD6B9-40A8-4F25-BBB8-5D37A512404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99AA2024-12B0-4840-B471-74001127289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39093D3-2C48-4DE6-89E3-CFCB4FC3F5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A1211AB8-429C-4A3D-9DEB-0877C2A0B2B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1FD3F412-8F96-4079-8D0F-8A5AC66136E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FC280DD-2C52-4685-B300-688272E7F1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7EA52EF9-ACC5-45E5-BE08-4C6B936ADFA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F4B3F116-80D0-44F7-8F20-FEC1C247937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4FC2DDB-C536-4283-9903-2BB3D09614D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0784DEC0-B7D6-40CB-9605-BBA2970763A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C957CB27-6964-4663-9782-163B0D5D462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511E55BF-F283-4858-8F45-1A8D3C0C5DA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81878D7C-4137-4591-9088-6280EE10157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855418FA-2592-41A4-96D5-B15678AEC44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E5B586F-ACC1-461F-9D2F-35C2C3A701A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73B2B53C-4AAF-485A-AEA2-D3B616920A8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48ABEAE2-B50D-4BCC-BF98-FE1E7B0C8B4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30FAD05A-60C2-42BF-987E-38A8C40D125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58CA7B73-1026-4909-80E3-7D7ED509BB1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2FBB5F1-EC4E-4D7B-B4C8-D180351B92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42A0FFA-59A0-46CE-96F2-ED3FE38D50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D7BE53E8-3809-4921-A5D7-1CE758502B1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BCDE23EB-4AA8-4EBE-8FEC-B61565263F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380E297F-657B-4E6E-9C28-995417582DD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C543B50F-DB7C-4EC2-A46B-DD3910CF000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353D507F-F492-4578-B425-D58E8A1B62D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5677151A-DDBD-44AF-846F-3D6FBBE6DB7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D4791B9D-A337-4357-B1B8-58EF61A133C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1DD93D77-75F4-452D-9FA4-ECA73C2A119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B07BEDC9-2C5E-4B3B-9031-71A51E9BD5B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76FA52D6-98CE-4866-95DD-DDE6ACD5AA2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1FCE3A88-A6E7-49FD-9B6E-2328AF6C207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ADD5E869-17D3-40ED-9035-66E375050CE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D1E50220-106C-4893-AC90-DA8313A2C37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74A5844D-984F-454D-84DF-7C3A20C1A91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4D38691C-C946-4846-A96A-44B546E349F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3B37E8D2-35C6-46AA-B331-F8C1F0E3020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6037AEB9-8572-45FC-874F-10FA23B972B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880D0A5-960D-4C1E-B49A-09A3C9AE2E8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B1D57943-6022-49B2-9E3C-AC69DDBD962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4DBB50E8-D649-4A7E-B719-7D38392AAEF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542C55BB-778C-482B-87D9-ACD4EA59E50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656BAFD5-4820-4E24-8980-F9AD7B6491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FD50F069-1B99-4E29-B5C3-5DA4DD3F728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EA08A6C7-26A1-4840-B7D5-1E3DD8CCA60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2742EEF1-2EF2-4FF1-8BB4-68F88CBCD4B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1488AFCC-C536-453C-848A-AFD4C230287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A2E609EA-1883-407F-B042-5EF0AC08901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D5FB7916-CA80-45E1-B875-C160BED12AC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0E31050-9544-4A21-A1E8-4E1DE057E6E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F8616E59-41DE-46ED-B39E-DC22A3F2F8B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3786025B-7A82-4690-A165-4566C4C553F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E14E9F18-0EC5-4F3F-8ADC-634747D05D0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95A11D0D-5142-4775-8585-A4206C34F9F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04038C05-519D-46EF-A501-D43F7CCD507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3DCFAF51-150C-4B41-BEC6-EC201D6973C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1863DBD-E4ED-453E-AE3F-2213EA1ABCB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4CA05739-0D73-4241-AE96-ACEAA3CE273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67CAD70-2C04-4D46-8035-37FBD14F600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15C2EBED-F04F-42A3-B292-E9CFE42F1CF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C85E7EBB-52F8-487D-A439-53C59C357A4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A610E6D-08A9-446B-8669-FE9491A7D02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12CF3535-FCC9-42C8-8A0A-CA1A6A9889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8C3CF38E-4B12-4327-BB88-C294E1EEB02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A3AC71B6-02A0-41C4-ABB0-B734952A88D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C173FB6D-D9DD-4BD8-9FDC-D743F8DE561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10A595FE-D6FA-400E-8E3A-91948833ACF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F6C920D5-7FB4-4523-B4C1-55C5869E08B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414EF41D-8D4F-4FAB-BC3F-E4BB35C6F7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D52D07FC-9B0A-47B3-AFDB-AB2E8AAADA6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271EFEB1-5FC0-4B9C-B117-FB98AB81A6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412190C-5E2A-4678-ACE8-67E0B58F1C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0AB8F3D-4F6C-47CC-A85E-328EFA80C99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4AFC1F90-1C5B-4F22-B7C8-39A78A9CD3D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40ADD88E-4396-49C6-BE5D-571C48D278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4558874C-1304-4C1B-AB5F-45326A2D3B9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79A69F52-D378-462F-AC00-2359C3801B6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BEF0C1C4-F604-4F9B-A5DA-2DFFCEDE3F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4E5187A7-03D7-4CE2-B8B5-2FE082E7E11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DBFDA4A-C982-4182-9B3E-487F2B249A6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0F826415-A81F-4967-92EE-E477CA0A490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FFE44C7F-FBBD-4719-8BD5-C58CB888A04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AB0D5B97-738E-4F31-AE72-0C3FC60C1D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B43913D9-8D85-4446-B27D-77129B7794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429F5A6-9192-4D2F-9742-20783EC58DF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5FFEDD08-90F3-49F7-8C93-DB251C94B96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D4B77BC6-F57F-4692-A9DD-BD8B71DC152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8101297A-32DE-497C-8ED7-3D87C5389A2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7B70C0E0-3EDB-44FE-AEE7-8705DDAE1A2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2F73A02E-6D5E-4EE1-9F9F-53E815B49B5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5DCCAE5E-7D08-44AF-BA37-4009C3EEDEF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C53E5E35-7441-4D72-B648-DE60404FB33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7409CA1D-E04F-4D46-A0A3-85F10756EA4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367DAB80-0BA7-4B58-B03A-0614BD8EDED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72F557B9-F88F-48AB-BA8E-83F130B3FEE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C992DAA6-6B85-4C05-BC73-0D3D2B0119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289EB154-0634-4B9E-BF43-EEC55304732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E2292154-56E8-445A-962A-10FAE29A6D5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99C1A84-8905-4169-BDA3-5895BA8872B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C5B04AC-D68F-4B6A-9564-A3D4DAFAC23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A91D24C7-4CC3-4B5E-B799-2964A33C523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D83A0905-F99D-4B07-9C6C-3AA6429173E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B54C81E4-5AC3-4F0C-A99C-603865C79E8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AAD58D7-FF43-40D0-B75A-B1E38F06CFE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A9A31C6-510D-475F-BC94-6E5843BAFE7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B2F37789-ECE5-4627-B946-3244C1AFD9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A62C0BE-3000-423D-93A5-7393BCC93C2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BF2214F5-DF47-4D78-935E-07B89FAB04E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9D674D9E-8CFF-411C-A9B2-7BA23C635A8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5EBC4F69-A0AE-45F2-B1DF-FD07310F4E4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5FC1438B-BC7D-4C54-9ECC-0E47E5DEBC9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B8C1FD2A-5BB2-47DA-9AB4-15A3244E86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E3095935-27C4-40B4-A990-DEB2C465E2A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9D337F0-F5BB-4819-95F8-A24A49CD354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FAF41C09-52C1-45DB-ADD6-B19E34DAFDC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9F649088-C2E3-482A-9690-840C141FD0C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E827851-A1AC-4712-A591-6751CE3BF6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0C6C5C3A-453B-4B8D-B98F-36A20B12DB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A0C07AB0-8C14-4DC0-B0AA-BBB21AE1F9F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248C9CB0-AD0B-4848-99F6-AEE49B2696B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0BE4F6E8-12E6-42B8-AEB7-BE8103A23C8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6308CBEC-9406-4AB5-AEAC-8BDDA774D3B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6B8DF901-71E1-4C60-8590-6150E530354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BC026AC-4322-4B85-9212-F40D8C1C780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39B18BC3-8B12-4193-8088-CE03EA3F96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29D1B5B7-8A1B-4416-9450-344873F16D3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E1C7C30C-B6DD-44AA-A4EE-4CCD011124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AE6EA6B8-4699-48C6-9FD7-12E44477F16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FBFBDE70-45CF-4EA6-818C-2108E959C4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2D61B5BB-F06D-404D-A90C-9574D000146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6E64BF09-B87C-4058-82A4-1FBE21CD52C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5D827993-9943-48B8-920E-06DDCFD91D3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13CCDFC3-2900-4284-A1C3-889CF8CE6B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AE8E314B-F5D3-4173-ADB5-99D2BB3151F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C726CA3E-5DB2-4E63-99E7-FBD0B3DC09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2C5C205E-939F-429A-98E6-B0DCCB4DEA2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B8263788-6707-4B45-8AA2-FDAB0067961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45AB3E81-9A69-4C6B-9616-EED71C846B8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975C423-4C96-41D2-BFE7-06ACC01E881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7479142-BDAD-4A0C-95CF-A775857688F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274EB433-C5E4-405C-AF4A-85BB01B2817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20529627-7279-4ED8-96D5-3F29EFC859C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296B3CE2-878F-4296-ABFB-2C642F8E57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5DBB0813-1864-493F-A752-AC4356EE5F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0117F636-65E3-4A46-A2F6-318637FBDC4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9FBA47BB-78EC-4FCF-9817-46598766B91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0B78437B-60DE-4BC5-B01F-A7C085C759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D13AE1B6-42DE-4EC3-9BFF-CA03EC180DE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BF136186-7B49-4A61-A04F-741AADE080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5EC074D5-1593-4C2B-8C98-5CE49DA72E2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9E38C5BC-B076-43FE-AE30-23D19DD6F8E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834B845-E578-44F8-8435-E4E98478D81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C6E6E3DF-E381-40B1-B295-4412E41B4B3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2826E374-BA67-4115-ABFA-8426AF0272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E605D0D9-8741-4E53-B0F1-05C9CC5CEA5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C5CA26E-C5CC-4458-ADC3-B21728C765A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8F22641A-AFA9-4397-A684-59BD44B5E6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6198DE66-529A-48CB-811D-D45373CDEAF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87BFD4B2-D26A-49B8-950C-A5219221954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BF153A80-40DC-425F-85CC-15FF7E2147B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7022C2F-A8E3-4B14-B3C5-1DF0B45E11AC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8631673-2939-49FF-9253-6AD33567551E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E0A2B90F-5395-4FBA-948A-EA81A9DE767D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5B9BA7E4-E16E-405A-98EA-5D8A1B2B715A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D18D97F6-5761-47F6-B08D-B52F09B5FF67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6B1844C9-1132-43A9-9F87-C1F1DAB72BF8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47C17887-05CD-4BB2-BD0A-C0D9EC0317F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782E278-0D28-4EDA-9905-C246A8C20811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F79947E3-CEEA-4792-A250-270E785342A6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F2E320D0-8700-4BE8-8565-BB03CA7F8E2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7BE076AD-D43F-4BB6-A585-F889CD2C01D4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C71177D7-EA54-4443-A7BB-A0D29F0AF24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7C5984F-DB21-4E8D-BB1E-08BCE9EA6080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6E1C114D-1B69-4547-A857-9250D8305A5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AC4D802F-27A1-471D-8D04-261485B8AC9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6FBD0989-C934-4F72-8C89-D1E7C71A8E14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DB671F1F-43CE-434F-AC29-A714C9B640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EE7CA126-96A8-4BA5-B330-B573D6641AE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D127F602-6144-4030-B9AF-6473FB12F828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5671C7D-6DA2-4983-8C49-C3E7771397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46C67E28-2836-4A92-9CD7-E336EED126CF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F0A35B30-FAEA-49D7-B623-11DCF4EC8160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F138EC84-776C-40DC-B197-6150F1DBAA7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EBAE9ED9-9CF3-4044-AF1D-3D3818EF874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C39CF23-6B7C-4FBE-AE2B-0DBBC1CD0F2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8C571344-BFB8-4F7D-A450-3D6BDFF6F05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10384B51-1495-4E71-9E8B-12296C8CADC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A1E2A1B-BE4D-426E-8811-39A871A600B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4032D640-272C-4F02-AA31-902EF58E43B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23B12A84-5D58-4E56-AFB3-EFE129AFC56B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D3199CB7-B76B-4F78-8361-949539600D8C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BD832A2B-A3BB-4DCB-B255-7E38361F813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E1610CAA-0132-4A78-9FD6-EE6B42351B0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0F2A26E7-6FA5-472A-A724-A3B9D2FEB02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AE7E964F-D9D0-4BA1-86A1-15D416C9B4F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9FE48AE0-77F0-4A54-82DE-BD12F5C6117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E510993E-B9EC-4984-ADB2-49DD3790E78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D88922AC-CFBA-4B09-A938-9EE7FEF800E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0E08EC75-8ECA-4CB0-9C39-F0C9130E01A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3A78462A-8361-40F3-8B62-DB4636FEF7B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048E8CC8-18CA-43BF-96DC-7BF5E014965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DADDDC02-BBD7-43D7-A574-48E95304ED6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50C52FC3-0EDC-46CA-B20A-D449196EEBE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7115302B-7096-408F-BA21-04EF4CC9AB2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103DAB6A-5FDA-45DC-BF8B-4CF00E909F7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36351253-6D51-4A35-A2A1-F3268CAE513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05D243EB-8121-42D5-A0BD-E7A61C4D879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196D6C5-13CC-4BBD-9F4C-30D7136CA6A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377FDEBC-5972-4867-A523-73C274896F8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005E196E-5390-4320-A207-44CE0B3C6CA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C864BFF7-0427-44C1-B6E8-C6C6FA2AF23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F3D02ED-58F4-40C2-9FCD-9F50C37FCE5A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8EAE68C5-E52C-487C-8798-BC59378CACC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FB4ADC6D-1F38-4B70-9D8D-6EAA55A5883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5C2B91C4-7A78-4608-A371-67AB5542EB4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47F912E4-0A8D-4172-A83A-D321D83E23C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CB9F4BE-A5BC-44CD-B981-4281A85C1C6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D44C861E-0280-4F6F-9802-75D80CBC299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89D6345C-25BC-49EE-BFE7-A190C9F4BA9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B03E528B-72D8-47ED-8351-E092F5434E8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49A68C1B-4E86-4C97-8D39-BF96934F7CF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B262984C-579B-4314-8E1E-E0AE7142924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1CA1A60B-1290-4F1F-AA4C-AD609CD251D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B364436E-FB89-4AFA-A71D-95EFEC31302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627DAF91-E218-4B6A-95D6-329811A3566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2EC38AC5-4E9B-4618-9827-D3EE683B0BF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EDFA90EF-3904-49AE-889A-DD2D52AF148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7E0A442A-0E15-41BB-9710-574FC367E99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E87D682A-94ED-457D-9C6B-896C7A278BC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A14AC88E-AC4D-4A4C-ABA2-F1E9380660E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CB8AA399-CE6D-435A-9535-46A09BE957E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72FD3CB-26C5-485C-9EC2-A9EEDB4517F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9C1811F6-8D8B-4987-A64B-979548AF9CA7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A01F1B81-74A3-4AED-9A1C-004571F912D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AB14FF89-FF4B-4226-9EC9-35BB4C037AE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B8195D08-479D-4D0E-BE0C-67904C94117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9DE7C6BE-07A6-4F4E-A38D-019EA419B8D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833E4FD1-4404-4E5B-ACDA-CE558901E30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FDC70A81-9928-488E-848D-6C835D3085D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6E53A960-0AD7-42B8-ABF7-C3D4737B662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39AD1CD9-2B49-42B2-B9F2-096DBDB9AED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0DD55D27-FEDC-4955-8ADC-5D8F24AFA35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9A31D32F-4563-4D60-B3D9-835D3205744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4A83BA60-5440-4EBB-BD49-8553C3C86F4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D6C173A7-AAFA-4A39-AB65-FBF45A72FB2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F2C79B1E-B091-4D29-A92C-53FC626CF8D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6755A80B-22FC-45BD-821E-CCC2AB9BC03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42340E4C-A04A-4986-8DBD-FA1EA216F68C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457FDFF3-3D43-489B-B441-87548911B16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BCF23330-B16C-499D-8B47-4297C6480577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D5A0CD3A-6F23-4E8C-8F2E-DAD518F021C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3DBE1E7F-EF44-456E-A33D-BFF04E43E1FC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2E323C5F-2DD2-47D8-82DE-D1BF6F88C94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E7989566-6977-4F4B-991B-E9B56BEA904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EA959BA8-5F36-4E42-BBCE-D67065E5F42A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9245625F-FC88-4DAA-A3A1-788F2661C6D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E771FBBA-2935-4DAD-A7FE-EEBE8A68BBC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56AAE89B-686C-479C-9E77-48AA6780D64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1E97AC17-EE04-4836-BF35-57E27297CB7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0F37CEDB-11D5-4E66-BC76-4D0C46E77B8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A0DD54D5-E002-4968-81DF-22DF76C2085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DADAF772-814F-43C6-B5A1-56C6009C388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B973B00F-102E-42C5-B064-EE1EAA5F580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1E21FAF-91AE-4759-BE78-B398FE74102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9E34DF6B-7C71-4CEA-BD8F-676B07E5CB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328697EB-6F05-4C23-AB82-DDBCB935EBE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C5D4D70-EB91-4CB3-AE95-989F9616D9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AD2CE709-E1BC-4EEC-A55E-7187FBC0FDE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7DF9BA75-99F1-4AEE-A92D-1C1D626B399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63E5C46-050D-4BAE-9F96-8B8F94EDF98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F6463CF-EEDB-4DDC-AB1E-B820C6DB7E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4F8BD6F6-3B12-4BF8-B1DA-87A799237B6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2749E4C4-69A0-4013-BD61-E4FEA7060E8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62FD60A7-6FF8-4BA3-9C37-BFFBDD0EB69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5772624-FCEE-4436-8A42-F95690D248A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425B5A74-777C-48CC-A17A-4660FCC245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C413C57E-9288-4F55-85C9-FF7DF227D2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01E26660-CE86-478D-A0FF-24650F35DD9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84BB260-8281-4BAB-8FF1-A02473D7F26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62E39CD2-DBFF-4B38-97E5-41794333FF9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CED88354-58B1-440B-A9A0-BED276AAB94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94C3A911-7F3B-4047-B4D6-CC30DECE3E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1C030682-AF38-439E-95A6-9F70D88705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E1110DF-4CD6-4098-998D-C4BA08BF18F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F2626690-B6D6-40C7-BA72-75F759C4B7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DCE106B1-B1E3-4F5B-8D86-FA7855BF4B6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8DDA889E-2EFB-48A2-89E4-DF8D4B76B03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E926F95C-07F8-4F6D-8530-81B07AFECF4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4FF36C31-EB77-452D-9600-09BD0EC986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FD195874-D6EA-477D-9CEB-A652B836D8B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2306033-DA56-46C2-8516-CC871BFDD89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F2E3A0B2-C364-464B-9FDF-2FE68FF1DB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1BAF4C7C-1C19-4580-952D-37D77D56E1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5FFD701-22CE-4B82-A7D4-6EEDD8D73D92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477ECF6B-7F5E-4F05-9114-7FC5A6BCCF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CEE6719C-2204-4350-99CE-4CF438BAD40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35E5F725-E12E-4CB3-8BE6-6D97525602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98046595-EA4E-4907-8BC1-C14F27A80B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ADD4BD0-FC41-47FE-B8C7-15AA9EC3F70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86645DFD-2B63-4B00-BDF3-AFC1C529303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0934C617-B60B-4B4B-AE90-DA80CCF81BF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1BC8A25-419F-4FA9-9C15-9290F7376F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83E8A5F4-C6BE-4791-8ADA-D838B7605F9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C02A337B-45BE-406D-ACE9-467CA3C7AA8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6416F106-4927-4335-806E-DBFD7660962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E863BD3B-4889-46FD-BFE7-823E3C7297E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12FA188A-ED19-4098-85B2-25D134EBEB5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6497C624-3BF5-458E-8C49-1E6A5E6AD49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3A0D9077-0F2B-40BC-A056-C3F3CDBBAA8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CF80CED0-08F5-4AE0-9585-E30BF94143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47E64AC-495D-428E-9922-D7D6767FB43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531EDD2-F32F-429A-9CA9-7CEB9CB74CF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5054471E-9B6F-428A-8A3F-3C8133C5A1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3F322427-03E1-4B05-93D5-4C49D9AB972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03DA97FF-47E3-4842-9EC8-E85D499A0D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30A014CF-52B1-4449-97E4-EA77F66F290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7FCC5B2-03F1-4EF6-9567-654FE852C58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B542FAED-B9FE-46F0-B684-3DE1091DDE6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60135580-2842-4700-880C-235A069A72B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C8C9A05C-4DE6-4104-BAF6-41365CA13E1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3E76BAC-6D43-40B9-B14E-5D227BBCB3A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160BC4A0-C105-4FB6-A3FD-55628DBE7B1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A55010AE-FBBC-4BA1-9563-CBEF4FCA05F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F2DE2BA3-99CD-4A19-9C57-C86E1CC8F3D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19231846-7D94-4719-9F8C-4EB6C01BFF1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A21" zoomScale="85" zoomScaleNormal="85" workbookViewId="0">
      <selection activeCell="A28" sqref="A28"/>
    </sheetView>
  </sheetViews>
  <sheetFormatPr defaultRowHeight="14.5"/>
  <cols>
    <col min="1" max="9" width="8.7265625" style="36"/>
    <col min="10" max="11" width="13" style="36" customWidth="1"/>
    <col min="12" max="16384" width="8.7265625" style="36"/>
  </cols>
  <sheetData>
    <row r="1" spans="1:15" s="2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</row>
    <row r="2" spans="1:15" s="2" customFormat="1" ht="32.15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</row>
    <row r="3" spans="1:15" s="2" customFormat="1" ht="6" customHeight="1">
      <c r="A3" s="736"/>
      <c r="B3" s="736"/>
      <c r="C3" s="736"/>
      <c r="D3" s="736"/>
      <c r="E3" s="736"/>
      <c r="F3" s="736"/>
      <c r="G3" s="736"/>
      <c r="H3" s="736"/>
      <c r="I3" s="736"/>
      <c r="J3" s="736"/>
      <c r="K3" s="736"/>
    </row>
    <row r="4" spans="1:15" s="179" customFormat="1" ht="19.5" customHeight="1">
      <c r="A4" s="737" t="s">
        <v>1</v>
      </c>
      <c r="B4" s="738"/>
      <c r="C4" s="738"/>
      <c r="D4" s="738"/>
      <c r="E4" s="738"/>
      <c r="F4" s="738"/>
      <c r="G4" s="738"/>
      <c r="H4" s="738"/>
      <c r="I4" s="739"/>
      <c r="J4" s="740" t="str">
        <f>CCT!J4</f>
        <v>10707.720194-2025-26</v>
      </c>
      <c r="K4" s="741"/>
    </row>
    <row r="5" spans="1:15" s="179" customFormat="1" ht="9" customHeight="1"/>
    <row r="6" spans="1:15" s="179" customFormat="1" ht="19.5" customHeight="1">
      <c r="A6" s="731" t="s">
        <v>340</v>
      </c>
      <c r="B6" s="731"/>
      <c r="C6" s="731"/>
      <c r="D6" s="731"/>
      <c r="E6" s="731"/>
      <c r="F6" s="731"/>
      <c r="G6" s="731"/>
      <c r="H6" s="731"/>
      <c r="I6" s="731"/>
      <c r="J6" s="731"/>
      <c r="K6" s="731"/>
    </row>
    <row r="7" spans="1:15" ht="11.15" customHeight="1">
      <c r="A7" s="732"/>
      <c r="B7" s="732"/>
      <c r="C7" s="732"/>
      <c r="D7" s="732"/>
      <c r="E7" s="732"/>
      <c r="F7" s="732"/>
      <c r="G7" s="732"/>
      <c r="H7" s="732"/>
      <c r="I7" s="732"/>
      <c r="J7" s="732"/>
      <c r="K7" s="732"/>
    </row>
    <row r="8" spans="1:15" ht="22" customHeight="1">
      <c r="A8" s="733" t="s">
        <v>273</v>
      </c>
      <c r="B8" s="733"/>
      <c r="C8" s="733"/>
      <c r="D8" s="733"/>
      <c r="E8" s="733"/>
      <c r="F8" s="733"/>
      <c r="G8" s="733"/>
      <c r="H8" s="733"/>
      <c r="I8" s="733"/>
      <c r="J8" s="733"/>
      <c r="K8" s="733"/>
      <c r="L8" s="76"/>
      <c r="M8" s="76"/>
      <c r="N8" s="76"/>
      <c r="O8" s="76"/>
    </row>
    <row r="9" spans="1:15" s="179" customFormat="1" ht="33.65" customHeight="1">
      <c r="A9" s="724" t="s">
        <v>469</v>
      </c>
      <c r="B9" s="724"/>
      <c r="C9" s="724"/>
      <c r="D9" s="724"/>
      <c r="E9" s="724"/>
      <c r="F9" s="724"/>
      <c r="G9" s="724"/>
      <c r="H9" s="724"/>
      <c r="I9" s="724"/>
      <c r="J9" s="724"/>
      <c r="K9" s="724"/>
    </row>
    <row r="10" spans="1:15" s="179" customFormat="1" ht="68.5" customHeight="1">
      <c r="A10" s="730" t="s">
        <v>520</v>
      </c>
      <c r="B10" s="730"/>
      <c r="C10" s="730"/>
      <c r="D10" s="730"/>
      <c r="E10" s="730"/>
      <c r="F10" s="730"/>
      <c r="G10" s="730"/>
      <c r="H10" s="730"/>
      <c r="I10" s="730"/>
      <c r="J10" s="730"/>
      <c r="K10" s="730"/>
    </row>
    <row r="11" spans="1:15" s="179" customFormat="1" ht="33.65" customHeight="1">
      <c r="A11" s="724" t="s">
        <v>470</v>
      </c>
      <c r="B11" s="724"/>
      <c r="C11" s="724"/>
      <c r="D11" s="724"/>
      <c r="E11" s="724"/>
      <c r="F11" s="724"/>
      <c r="G11" s="724"/>
      <c r="H11" s="724"/>
      <c r="I11" s="724"/>
      <c r="J11" s="724"/>
      <c r="K11" s="724"/>
    </row>
    <row r="12" spans="1:15" s="179" customFormat="1" ht="34" customHeight="1">
      <c r="A12" s="724" t="s">
        <v>471</v>
      </c>
      <c r="B12" s="724"/>
      <c r="C12" s="724"/>
      <c r="D12" s="724"/>
      <c r="E12" s="724"/>
      <c r="F12" s="724"/>
      <c r="G12" s="724"/>
      <c r="H12" s="724"/>
      <c r="I12" s="724"/>
      <c r="J12" s="724"/>
      <c r="K12" s="724"/>
    </row>
    <row r="13" spans="1:15" s="179" customFormat="1" ht="50.15" customHeight="1">
      <c r="A13" s="724" t="s">
        <v>472</v>
      </c>
      <c r="B13" s="724"/>
      <c r="C13" s="724"/>
      <c r="D13" s="724"/>
      <c r="E13" s="724"/>
      <c r="F13" s="724"/>
      <c r="G13" s="724"/>
      <c r="H13" s="724"/>
      <c r="I13" s="724"/>
      <c r="J13" s="724"/>
      <c r="K13" s="724"/>
    </row>
    <row r="14" spans="1:15" s="179" customFormat="1" ht="34" customHeight="1">
      <c r="A14" s="726" t="s">
        <v>473</v>
      </c>
      <c r="B14" s="726"/>
      <c r="C14" s="726"/>
      <c r="D14" s="726"/>
      <c r="E14" s="726"/>
      <c r="F14" s="726"/>
      <c r="G14" s="726"/>
      <c r="H14" s="726"/>
      <c r="I14" s="726"/>
      <c r="J14" s="726"/>
      <c r="K14" s="726"/>
    </row>
    <row r="15" spans="1:15" s="179" customFormat="1" ht="58.5" customHeight="1">
      <c r="A15" s="724" t="s">
        <v>474</v>
      </c>
      <c r="B15" s="724"/>
      <c r="C15" s="724"/>
      <c r="D15" s="724"/>
      <c r="E15" s="724"/>
      <c r="F15" s="724"/>
      <c r="G15" s="724"/>
      <c r="H15" s="724"/>
      <c r="I15" s="724"/>
      <c r="J15" s="724"/>
      <c r="K15" s="724"/>
    </row>
    <row r="16" spans="1:15" s="179" customFormat="1" ht="34" customHeight="1">
      <c r="A16" s="724" t="s">
        <v>475</v>
      </c>
      <c r="B16" s="724"/>
      <c r="C16" s="724"/>
      <c r="D16" s="724"/>
      <c r="E16" s="724"/>
      <c r="F16" s="724"/>
      <c r="G16" s="724"/>
      <c r="H16" s="724"/>
      <c r="I16" s="724"/>
      <c r="J16" s="724"/>
      <c r="K16" s="724"/>
    </row>
    <row r="17" spans="1:11" s="179" customFormat="1" ht="34" customHeight="1">
      <c r="A17" s="727" t="s">
        <v>476</v>
      </c>
      <c r="B17" s="728"/>
      <c r="C17" s="728"/>
      <c r="D17" s="728"/>
      <c r="E17" s="728"/>
      <c r="F17" s="728"/>
      <c r="G17" s="728"/>
      <c r="H17" s="728"/>
      <c r="I17" s="728"/>
      <c r="J17" s="728"/>
      <c r="K17" s="729"/>
    </row>
    <row r="18" spans="1:11" s="179" customFormat="1" ht="17.5" customHeight="1">
      <c r="A18" s="724" t="s">
        <v>477</v>
      </c>
      <c r="B18" s="724"/>
      <c r="C18" s="724"/>
      <c r="D18" s="724"/>
      <c r="E18" s="724"/>
      <c r="F18" s="724"/>
      <c r="G18" s="724"/>
      <c r="H18" s="724"/>
      <c r="I18" s="724"/>
      <c r="J18" s="724"/>
      <c r="K18" s="724"/>
    </row>
    <row r="19" spans="1:11" s="179" customFormat="1" ht="45.5" customHeight="1">
      <c r="A19" s="724" t="s">
        <v>478</v>
      </c>
      <c r="B19" s="724"/>
      <c r="C19" s="724"/>
      <c r="D19" s="724"/>
      <c r="E19" s="724"/>
      <c r="F19" s="724"/>
      <c r="G19" s="724"/>
      <c r="H19" s="724"/>
      <c r="I19" s="724"/>
      <c r="J19" s="724"/>
      <c r="K19" s="724"/>
    </row>
    <row r="20" spans="1:11" s="179" customFormat="1" ht="17.149999999999999" customHeight="1">
      <c r="A20" s="724" t="s">
        <v>479</v>
      </c>
      <c r="B20" s="724"/>
      <c r="C20" s="724"/>
      <c r="D20" s="724"/>
      <c r="E20" s="724"/>
      <c r="F20" s="724"/>
      <c r="G20" s="724"/>
      <c r="H20" s="724"/>
      <c r="I20" s="724"/>
      <c r="J20" s="724"/>
      <c r="K20" s="724"/>
    </row>
    <row r="21" spans="1:11" s="179" customFormat="1" ht="79.5" customHeight="1">
      <c r="A21" s="725" t="s">
        <v>480</v>
      </c>
      <c r="B21" s="725"/>
      <c r="C21" s="725"/>
      <c r="D21" s="725"/>
      <c r="E21" s="725"/>
      <c r="F21" s="725"/>
      <c r="G21" s="725"/>
      <c r="H21" s="725"/>
      <c r="I21" s="725"/>
      <c r="J21" s="725"/>
      <c r="K21" s="725"/>
    </row>
    <row r="22" spans="1:11" s="179" customFormat="1" ht="30" customHeight="1">
      <c r="A22" s="724" t="s">
        <v>481</v>
      </c>
      <c r="B22" s="724"/>
      <c r="C22" s="724"/>
      <c r="D22" s="724"/>
      <c r="E22" s="724"/>
      <c r="F22" s="724"/>
      <c r="G22" s="724"/>
      <c r="H22" s="724"/>
      <c r="I22" s="724"/>
      <c r="J22" s="724"/>
      <c r="K22" s="724"/>
    </row>
    <row r="23" spans="1:11" s="179" customFormat="1" ht="31" customHeight="1">
      <c r="A23" s="724" t="s">
        <v>482</v>
      </c>
      <c r="B23" s="724"/>
      <c r="C23" s="724"/>
      <c r="D23" s="724"/>
      <c r="E23" s="724"/>
      <c r="F23" s="724"/>
      <c r="G23" s="724"/>
      <c r="H23" s="724"/>
      <c r="I23" s="724"/>
      <c r="J23" s="724"/>
      <c r="K23" s="724"/>
    </row>
    <row r="24" spans="1:11" s="179" customFormat="1" ht="17.5" customHeight="1">
      <c r="A24" s="724" t="s">
        <v>483</v>
      </c>
      <c r="B24" s="724"/>
      <c r="C24" s="724"/>
      <c r="D24" s="724"/>
      <c r="E24" s="724"/>
      <c r="F24" s="724"/>
      <c r="G24" s="724"/>
      <c r="H24" s="724"/>
      <c r="I24" s="724"/>
      <c r="J24" s="724"/>
      <c r="K24" s="724"/>
    </row>
    <row r="25" spans="1:11" s="179" customFormat="1" ht="36.5" customHeight="1">
      <c r="A25" s="724" t="s">
        <v>541</v>
      </c>
      <c r="B25" s="724"/>
      <c r="C25" s="724"/>
      <c r="D25" s="724"/>
      <c r="E25" s="724"/>
      <c r="F25" s="724"/>
      <c r="G25" s="724"/>
      <c r="H25" s="724"/>
      <c r="I25" s="724"/>
      <c r="J25" s="724"/>
      <c r="K25" s="724"/>
    </row>
    <row r="26" spans="1:11" s="179" customFormat="1" ht="22" customHeight="1">
      <c r="A26" s="727" t="s">
        <v>542</v>
      </c>
      <c r="B26" s="728"/>
      <c r="C26" s="728"/>
      <c r="D26" s="728"/>
      <c r="E26" s="728"/>
      <c r="F26" s="728"/>
      <c r="G26" s="728"/>
      <c r="H26" s="728"/>
      <c r="I26" s="728"/>
      <c r="J26" s="728"/>
      <c r="K26" s="729"/>
    </row>
    <row r="27" spans="1:11" s="179" customFormat="1" ht="34" customHeight="1">
      <c r="A27" s="724" t="s">
        <v>543</v>
      </c>
      <c r="B27" s="724"/>
      <c r="C27" s="724"/>
      <c r="D27" s="724"/>
      <c r="E27" s="724"/>
      <c r="F27" s="724"/>
      <c r="G27" s="724"/>
      <c r="H27" s="724"/>
      <c r="I27" s="724"/>
      <c r="J27" s="724"/>
      <c r="K27" s="724"/>
    </row>
    <row r="28" spans="1:11" s="180" customFormat="1" ht="40" customHeight="1"/>
  </sheetData>
  <mergeCells count="27">
    <mergeCell ref="A6:K6"/>
    <mergeCell ref="A7:K7"/>
    <mergeCell ref="A8:K8"/>
    <mergeCell ref="A1:K1"/>
    <mergeCell ref="A2:K2"/>
    <mergeCell ref="A3:K3"/>
    <mergeCell ref="A4:I4"/>
    <mergeCell ref="J4:K4"/>
    <mergeCell ref="A9:K9"/>
    <mergeCell ref="A10:K10"/>
    <mergeCell ref="A11:K11"/>
    <mergeCell ref="A12:K12"/>
    <mergeCell ref="A13:K13"/>
    <mergeCell ref="A14:K14"/>
    <mergeCell ref="A15:K15"/>
    <mergeCell ref="A16:K16"/>
    <mergeCell ref="A17:K17"/>
    <mergeCell ref="A18:K18"/>
    <mergeCell ref="A19:K19"/>
    <mergeCell ref="A20:K20"/>
    <mergeCell ref="A21:K21"/>
    <mergeCell ref="A22:K22"/>
    <mergeCell ref="A23:K23"/>
    <mergeCell ref="A27:K27"/>
    <mergeCell ref="A24:K24"/>
    <mergeCell ref="A25:K25"/>
    <mergeCell ref="A26:K26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93"/>
  <sheetViews>
    <sheetView showGridLines="0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6" sqref="A6:S6"/>
    </sheetView>
  </sheetViews>
  <sheetFormatPr defaultRowHeight="15.5"/>
  <cols>
    <col min="1" max="1" width="14.1796875" style="180" customWidth="1"/>
    <col min="2" max="2" width="38.26953125" style="180" customWidth="1"/>
    <col min="3" max="3" width="17.26953125" style="180" customWidth="1"/>
    <col min="4" max="4" width="1.453125" style="180" customWidth="1"/>
    <col min="5" max="5" width="15.54296875" style="180" customWidth="1"/>
    <col min="6" max="6" width="16" style="180" customWidth="1"/>
    <col min="7" max="7" width="15.1796875" style="180" customWidth="1"/>
    <col min="8" max="8" width="1.453125" style="180" customWidth="1"/>
    <col min="9" max="9" width="16.54296875" style="180" customWidth="1"/>
    <col min="10" max="10" width="16.1796875" style="180" customWidth="1"/>
    <col min="11" max="11" width="14.54296875" style="180" customWidth="1"/>
    <col min="12" max="12" width="1.453125" style="181" customWidth="1"/>
    <col min="13" max="13" width="18.26953125" style="180" customWidth="1"/>
    <col min="14" max="14" width="14.7265625" style="180" customWidth="1"/>
    <col min="15" max="15" width="15.1796875" style="180" customWidth="1"/>
    <col min="16" max="16" width="1.453125" style="180" customWidth="1"/>
    <col min="17" max="17" width="20.1796875" style="180" customWidth="1"/>
    <col min="18" max="18" width="14.81640625" style="180" customWidth="1"/>
    <col min="19" max="19" width="15.26953125" style="180" customWidth="1"/>
    <col min="20" max="994" width="9.54296875" style="180" customWidth="1"/>
    <col min="995" max="16384" width="8.7265625" style="180"/>
  </cols>
  <sheetData>
    <row r="1" spans="1:19" s="179" customFormat="1" ht="22.5" customHeight="1">
      <c r="A1" s="942" t="s">
        <v>0</v>
      </c>
      <c r="B1" s="943"/>
      <c r="C1" s="943"/>
      <c r="D1" s="943"/>
      <c r="E1" s="943"/>
      <c r="F1" s="943"/>
      <c r="G1" s="943"/>
      <c r="H1" s="943"/>
      <c r="I1" s="943"/>
      <c r="J1" s="943"/>
      <c r="K1" s="943"/>
      <c r="L1" s="943"/>
      <c r="M1" s="943"/>
      <c r="N1" s="943"/>
      <c r="O1" s="943"/>
      <c r="P1" s="943"/>
      <c r="Q1" s="943"/>
      <c r="R1" s="943"/>
      <c r="S1" s="944"/>
    </row>
    <row r="2" spans="1:19" s="179" customFormat="1" ht="22" customHeight="1">
      <c r="A2" s="945" t="s">
        <v>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5"/>
      <c r="S2" s="946"/>
    </row>
    <row r="3" spans="1:19" s="179" customFormat="1" ht="6" customHeight="1">
      <c r="A3" s="250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181"/>
      <c r="M3" s="252"/>
      <c r="N3" s="252"/>
      <c r="O3" s="352"/>
      <c r="P3" s="252"/>
      <c r="Q3" s="252"/>
      <c r="R3" s="252"/>
      <c r="S3" s="353"/>
    </row>
    <row r="4" spans="1:19" s="179" customFormat="1" ht="18" customHeight="1">
      <c r="A4" s="864" t="s">
        <v>1</v>
      </c>
      <c r="B4" s="779"/>
      <c r="C4" s="779"/>
      <c r="D4" s="779"/>
      <c r="E4" s="779"/>
      <c r="F4" s="779"/>
      <c r="G4" s="779"/>
      <c r="H4" s="779"/>
      <c r="I4" s="779"/>
      <c r="J4" s="755" t="str">
        <f>CCT!J4</f>
        <v>10707.720194-2025-26</v>
      </c>
      <c r="K4" s="755"/>
      <c r="L4" s="755"/>
      <c r="M4" s="755"/>
      <c r="N4" s="755"/>
      <c r="O4" s="755"/>
      <c r="P4" s="755"/>
      <c r="Q4" s="755"/>
      <c r="R4" s="755"/>
      <c r="S4" s="947"/>
    </row>
    <row r="5" spans="1:1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181"/>
      <c r="O5" s="352"/>
      <c r="S5" s="352"/>
    </row>
    <row r="6" spans="1:1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1"/>
      <c r="S6" s="812"/>
    </row>
    <row r="7" spans="1:19" ht="11.15" customHeight="1" thickBo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354"/>
      <c r="O7" s="354"/>
      <c r="S7" s="354"/>
    </row>
    <row r="8" spans="1:19" ht="18" customHeight="1">
      <c r="A8" s="834" t="s">
        <v>137</v>
      </c>
      <c r="B8" s="849" t="s">
        <v>147</v>
      </c>
      <c r="C8" s="852" t="s">
        <v>488</v>
      </c>
      <c r="D8" s="355"/>
      <c r="E8" s="958" t="s">
        <v>139</v>
      </c>
      <c r="F8" s="959"/>
      <c r="G8" s="960"/>
      <c r="H8" s="253"/>
      <c r="I8" s="955" t="s">
        <v>150</v>
      </c>
      <c r="J8" s="956"/>
      <c r="K8" s="957"/>
      <c r="L8" s="185"/>
      <c r="M8" s="844" t="s">
        <v>140</v>
      </c>
      <c r="N8" s="845"/>
      <c r="O8" s="846"/>
      <c r="Q8" s="861" t="s">
        <v>141</v>
      </c>
      <c r="R8" s="862"/>
      <c r="S8" s="863"/>
    </row>
    <row r="9" spans="1:19" ht="45" customHeight="1">
      <c r="A9" s="835"/>
      <c r="B9" s="849"/>
      <c r="C9" s="851"/>
      <c r="D9" s="356"/>
      <c r="E9" s="357" t="s">
        <v>489</v>
      </c>
      <c r="F9" s="358" t="s">
        <v>487</v>
      </c>
      <c r="G9" s="267" t="s">
        <v>156</v>
      </c>
      <c r="H9" s="359"/>
      <c r="I9" s="357" t="s">
        <v>489</v>
      </c>
      <c r="J9" s="358" t="s">
        <v>487</v>
      </c>
      <c r="K9" s="267" t="s">
        <v>156</v>
      </c>
      <c r="L9" s="360"/>
      <c r="M9" s="361" t="s">
        <v>489</v>
      </c>
      <c r="N9" s="264" t="s">
        <v>487</v>
      </c>
      <c r="O9" s="264" t="s">
        <v>156</v>
      </c>
      <c r="P9" s="316"/>
      <c r="Q9" s="362" t="s">
        <v>489</v>
      </c>
      <c r="R9" s="264" t="s">
        <v>487</v>
      </c>
      <c r="S9" s="264" t="s">
        <v>156</v>
      </c>
    </row>
    <row r="10" spans="1:19" ht="18" customHeight="1">
      <c r="A10" s="835"/>
      <c r="B10" s="897" t="s">
        <v>126</v>
      </c>
      <c r="C10" s="897"/>
      <c r="D10" s="363"/>
      <c r="E10" s="271"/>
      <c r="F10" s="271"/>
      <c r="G10" s="271"/>
      <c r="H10" s="359"/>
      <c r="I10" s="271"/>
      <c r="J10" s="271"/>
      <c r="K10" s="271"/>
      <c r="L10" s="360"/>
      <c r="M10" s="271"/>
      <c r="N10" s="271"/>
      <c r="O10" s="271"/>
      <c r="P10" s="316"/>
      <c r="Q10" s="270"/>
      <c r="R10" s="271"/>
      <c r="S10" s="272"/>
    </row>
    <row r="11" spans="1:19" ht="18" customHeight="1">
      <c r="A11" s="835"/>
      <c r="B11" s="347" t="s">
        <v>127</v>
      </c>
      <c r="C11" s="348">
        <v>1200</v>
      </c>
      <c r="D11" s="364"/>
      <c r="E11" s="365">
        <v>616.33000000000004</v>
      </c>
      <c r="F11" s="283">
        <v>515.32000000000005</v>
      </c>
      <c r="G11" s="366">
        <f>ROUND(F11/E11,4)</f>
        <v>0.83609999999999995</v>
      </c>
      <c r="H11" s="359"/>
      <c r="I11" s="365">
        <v>318.64</v>
      </c>
      <c r="J11" s="283">
        <v>293.87</v>
      </c>
      <c r="K11" s="366">
        <f>ROUND(J11/I11,4)</f>
        <v>0.92230000000000001</v>
      </c>
      <c r="L11" s="360"/>
      <c r="M11" s="365">
        <v>1895.66</v>
      </c>
      <c r="N11" s="283">
        <v>1431.22</v>
      </c>
      <c r="O11" s="366">
        <f>ROUND(N11/M11,4)</f>
        <v>0.755</v>
      </c>
      <c r="P11" s="316"/>
      <c r="Q11" s="367">
        <f>C11</f>
        <v>1200</v>
      </c>
      <c r="R11" s="283">
        <v>758.09</v>
      </c>
      <c r="S11" s="368">
        <f>ROUND(R11/Q11,4)</f>
        <v>0.63170000000000004</v>
      </c>
    </row>
    <row r="12" spans="1:19" ht="30" customHeight="1">
      <c r="A12" s="835"/>
      <c r="B12" s="347" t="s">
        <v>129</v>
      </c>
      <c r="C12" s="348">
        <v>1500</v>
      </c>
      <c r="D12" s="364"/>
      <c r="E12" s="369">
        <v>1500</v>
      </c>
      <c r="F12" s="283"/>
      <c r="G12" s="366">
        <f t="shared" ref="G12:G13" si="0">ROUND(F12/E12,4)</f>
        <v>0</v>
      </c>
      <c r="H12" s="359"/>
      <c r="I12" s="369">
        <v>1500</v>
      </c>
      <c r="J12" s="291"/>
      <c r="K12" s="366">
        <f t="shared" ref="K12:K13" si="1">ROUND(J12/I12,4)</f>
        <v>0</v>
      </c>
      <c r="L12" s="360"/>
      <c r="M12" s="369">
        <v>1500</v>
      </c>
      <c r="N12" s="291">
        <v>343.28</v>
      </c>
      <c r="O12" s="366">
        <f t="shared" ref="O12:O13" si="2">ROUND(N12/M12,4)</f>
        <v>0.22889999999999999</v>
      </c>
      <c r="P12" s="316"/>
      <c r="Q12" s="348">
        <v>1500</v>
      </c>
      <c r="R12" s="291"/>
      <c r="S12" s="368">
        <f t="shared" ref="S12:S13" si="3">ROUND(R12/Q12,4)</f>
        <v>0</v>
      </c>
    </row>
    <row r="13" spans="1:19" ht="18" customHeight="1">
      <c r="A13" s="835"/>
      <c r="B13" s="370" t="s">
        <v>281</v>
      </c>
      <c r="C13" s="371">
        <v>300</v>
      </c>
      <c r="D13" s="372"/>
      <c r="E13" s="373">
        <v>300</v>
      </c>
      <c r="F13" s="297">
        <v>17.010000000000002</v>
      </c>
      <c r="G13" s="366">
        <f t="shared" si="0"/>
        <v>5.67E-2</v>
      </c>
      <c r="H13" s="359"/>
      <c r="I13" s="373">
        <v>300</v>
      </c>
      <c r="J13" s="298">
        <v>16.54</v>
      </c>
      <c r="K13" s="366">
        <f t="shared" si="1"/>
        <v>5.5100000000000003E-2</v>
      </c>
      <c r="L13" s="360"/>
      <c r="M13" s="365">
        <v>100.4</v>
      </c>
      <c r="N13" s="291">
        <v>96.39</v>
      </c>
      <c r="O13" s="366">
        <f t="shared" si="2"/>
        <v>0.96009999999999995</v>
      </c>
      <c r="P13" s="316"/>
      <c r="Q13" s="374">
        <v>51.97</v>
      </c>
      <c r="R13" s="291">
        <v>18.95</v>
      </c>
      <c r="S13" s="368">
        <f t="shared" si="3"/>
        <v>0.36459999999999998</v>
      </c>
    </row>
    <row r="14" spans="1:19" ht="18.649999999999999" customHeight="1">
      <c r="A14" s="835"/>
      <c r="B14" s="897" t="s">
        <v>132</v>
      </c>
      <c r="C14" s="897"/>
      <c r="D14" s="363"/>
      <c r="E14" s="271"/>
      <c r="F14" s="271"/>
      <c r="G14" s="271"/>
      <c r="H14" s="359"/>
      <c r="I14" s="271"/>
      <c r="J14" s="271"/>
      <c r="K14" s="271"/>
      <c r="L14" s="360"/>
      <c r="M14" s="271"/>
      <c r="N14" s="271"/>
      <c r="O14" s="271"/>
      <c r="P14" s="316"/>
      <c r="Q14" s="270"/>
      <c r="R14" s="271"/>
      <c r="S14" s="272"/>
    </row>
    <row r="15" spans="1:19" ht="33.75" customHeight="1">
      <c r="A15" s="835"/>
      <c r="B15" s="309" t="s">
        <v>133</v>
      </c>
      <c r="C15" s="350">
        <v>2700</v>
      </c>
      <c r="D15" s="375"/>
      <c r="E15" s="376">
        <v>2700</v>
      </c>
      <c r="F15" s="285">
        <v>117.53</v>
      </c>
      <c r="G15" s="366">
        <f t="shared" ref="G15:G17" si="4">ROUND(F15/E15,4)</f>
        <v>4.3499999999999997E-2</v>
      </c>
      <c r="H15" s="359"/>
      <c r="I15" s="376">
        <v>2700</v>
      </c>
      <c r="J15" s="285">
        <v>37.979999999999997</v>
      </c>
      <c r="K15" s="366">
        <f t="shared" ref="K15:K17" si="5">ROUND(J15/I15,4)</f>
        <v>1.41E-2</v>
      </c>
      <c r="L15" s="360"/>
      <c r="M15" s="377">
        <v>2700</v>
      </c>
      <c r="N15" s="291">
        <v>77.7</v>
      </c>
      <c r="O15" s="366">
        <f t="shared" ref="O15:O17" si="6">ROUND(N15/M15,4)</f>
        <v>2.8799999999999999E-2</v>
      </c>
      <c r="P15" s="316"/>
      <c r="Q15" s="350">
        <v>2700</v>
      </c>
      <c r="R15" s="291"/>
      <c r="S15" s="368">
        <f t="shared" ref="S15:S17" si="7">ROUND(R15/Q15,4)</f>
        <v>0</v>
      </c>
    </row>
    <row r="16" spans="1:19" ht="18.649999999999999" customHeight="1">
      <c r="A16" s="835"/>
      <c r="B16" s="312" t="s">
        <v>134</v>
      </c>
      <c r="C16" s="350">
        <v>9000</v>
      </c>
      <c r="D16" s="375"/>
      <c r="E16" s="377">
        <v>9000</v>
      </c>
      <c r="F16" s="283">
        <v>413.76</v>
      </c>
      <c r="G16" s="366">
        <f t="shared" si="4"/>
        <v>4.5999999999999999E-2</v>
      </c>
      <c r="H16" s="359"/>
      <c r="I16" s="377">
        <v>9000</v>
      </c>
      <c r="J16" s="291"/>
      <c r="K16" s="366">
        <f t="shared" si="5"/>
        <v>0</v>
      </c>
      <c r="L16" s="360"/>
      <c r="M16" s="377">
        <v>9000</v>
      </c>
      <c r="N16" s="291">
        <v>26.7</v>
      </c>
      <c r="O16" s="366">
        <f t="shared" si="6"/>
        <v>3.0000000000000001E-3</v>
      </c>
      <c r="P16" s="316"/>
      <c r="Q16" s="350">
        <v>9000</v>
      </c>
      <c r="R16" s="291"/>
      <c r="S16" s="368">
        <f t="shared" si="7"/>
        <v>0</v>
      </c>
    </row>
    <row r="17" spans="1:19" ht="28.5" customHeight="1">
      <c r="A17" s="835"/>
      <c r="B17" s="312" t="s">
        <v>148</v>
      </c>
      <c r="C17" s="350">
        <v>2700</v>
      </c>
      <c r="D17" s="375"/>
      <c r="E17" s="377">
        <v>2700</v>
      </c>
      <c r="F17" s="283"/>
      <c r="G17" s="366">
        <f t="shared" si="4"/>
        <v>0</v>
      </c>
      <c r="H17" s="359"/>
      <c r="I17" s="377">
        <v>2700</v>
      </c>
      <c r="J17" s="283"/>
      <c r="K17" s="366">
        <f t="shared" si="5"/>
        <v>0</v>
      </c>
      <c r="L17" s="360"/>
      <c r="M17" s="377">
        <v>2700</v>
      </c>
      <c r="N17" s="283">
        <v>24.9</v>
      </c>
      <c r="O17" s="366">
        <f t="shared" si="6"/>
        <v>9.1999999999999998E-3</v>
      </c>
      <c r="P17" s="316"/>
      <c r="Q17" s="350">
        <v>2700</v>
      </c>
      <c r="R17" s="283"/>
      <c r="S17" s="368">
        <f t="shared" si="7"/>
        <v>0</v>
      </c>
    </row>
    <row r="18" spans="1:19" ht="18.5" customHeight="1">
      <c r="A18" s="835"/>
      <c r="B18" s="337" t="s">
        <v>136</v>
      </c>
      <c r="C18" s="271"/>
      <c r="D18" s="363"/>
      <c r="E18" s="271"/>
      <c r="F18" s="271"/>
      <c r="G18" s="271"/>
      <c r="H18" s="359"/>
      <c r="I18" s="271"/>
      <c r="J18" s="271"/>
      <c r="K18" s="271"/>
      <c r="L18" s="360"/>
      <c r="M18" s="271"/>
      <c r="N18" s="271"/>
      <c r="O18" s="271"/>
      <c r="P18" s="316"/>
      <c r="Q18" s="270"/>
      <c r="R18" s="271"/>
      <c r="S18" s="272"/>
    </row>
    <row r="19" spans="1:19" ht="30" customHeight="1">
      <c r="A19" s="835"/>
      <c r="B19" s="309" t="s">
        <v>316</v>
      </c>
      <c r="C19" s="350">
        <v>380</v>
      </c>
      <c r="D19" s="375"/>
      <c r="E19" s="376">
        <v>380</v>
      </c>
      <c r="F19" s="310">
        <v>40.450000000000003</v>
      </c>
      <c r="G19" s="378">
        <f>ROUND((16/(188.76*E19))*F19,5)</f>
        <v>9.0200000000000002E-3</v>
      </c>
      <c r="H19" s="359"/>
      <c r="I19" s="376">
        <v>380</v>
      </c>
      <c r="J19" s="310">
        <v>26.65</v>
      </c>
      <c r="K19" s="378">
        <f>ROUND((16/(188.76*I19))*J19,5)</f>
        <v>5.94E-3</v>
      </c>
      <c r="L19" s="360"/>
      <c r="M19" s="377">
        <v>380</v>
      </c>
      <c r="N19" s="291">
        <v>26.69</v>
      </c>
      <c r="O19" s="378">
        <f>ROUND((16/(188.76*M19))*N19,5)</f>
        <v>5.9500000000000004E-3</v>
      </c>
      <c r="P19" s="316"/>
      <c r="Q19" s="305">
        <v>380</v>
      </c>
      <c r="R19" s="291">
        <v>14.7</v>
      </c>
      <c r="S19" s="379">
        <f>ROUND((16/(188.76*Q19))*R19,5)</f>
        <v>3.2799999999999999E-3</v>
      </c>
    </row>
    <row r="20" spans="1:19" ht="30" customHeight="1">
      <c r="A20" s="835"/>
      <c r="B20" s="312" t="s">
        <v>317</v>
      </c>
      <c r="C20" s="350">
        <v>380</v>
      </c>
      <c r="D20" s="375"/>
      <c r="E20" s="377">
        <v>380</v>
      </c>
      <c r="F20" s="283">
        <v>38.85</v>
      </c>
      <c r="G20" s="380">
        <f>ROUND((16/(188.76*E20))*F20,5)</f>
        <v>8.6700000000000006E-3</v>
      </c>
      <c r="H20" s="359"/>
      <c r="I20" s="377">
        <v>380</v>
      </c>
      <c r="J20" s="283">
        <v>11.72</v>
      </c>
      <c r="K20" s="380">
        <f>ROUND((16/(188.76*I20))*J20,5)</f>
        <v>2.6099999999999999E-3</v>
      </c>
      <c r="L20" s="360"/>
      <c r="M20" s="377">
        <v>380</v>
      </c>
      <c r="N20" s="283">
        <v>86.4</v>
      </c>
      <c r="O20" s="380">
        <f>ROUND((16/(188.76*M20))*N20,5)</f>
        <v>1.9269999999999999E-2</v>
      </c>
      <c r="P20" s="316"/>
      <c r="Q20" s="305">
        <v>380</v>
      </c>
      <c r="R20" s="283">
        <v>2.95</v>
      </c>
      <c r="S20" s="381">
        <f>ROUND((16/(188.76*Q20))*R20,5)</f>
        <v>6.6E-4</v>
      </c>
    </row>
    <row r="21" spans="1:19" ht="21" customHeight="1">
      <c r="A21" s="835"/>
      <c r="B21" s="907" t="s">
        <v>151</v>
      </c>
      <c r="C21" s="907"/>
      <c r="D21" s="316"/>
      <c r="E21" s="912" t="s">
        <v>151</v>
      </c>
      <c r="F21" s="799"/>
      <c r="G21" s="380">
        <f>SUM(G19:G20,G17,G16,G15,G13,G12,G11)</f>
        <v>0.99999000000000005</v>
      </c>
      <c r="H21" s="359"/>
      <c r="I21" s="912" t="s">
        <v>151</v>
      </c>
      <c r="J21" s="799"/>
      <c r="K21" s="380">
        <f>SUM(K19:K20,K17,K16,K15,K13,K12,K11)</f>
        <v>1.0000500000000001</v>
      </c>
      <c r="L21" s="360"/>
      <c r="M21" s="912" t="s">
        <v>151</v>
      </c>
      <c r="N21" s="799"/>
      <c r="O21" s="380">
        <f>SUM(O19:O20,O17,O16,O15,O13,O12,O11)</f>
        <v>2.0102199999999999</v>
      </c>
      <c r="P21" s="316"/>
      <c r="Q21" s="799" t="s">
        <v>151</v>
      </c>
      <c r="R21" s="799"/>
      <c r="S21" s="381">
        <f>SUM(S19:S20,S17,S16,S15,S13,S12,S11)</f>
        <v>1.00024</v>
      </c>
    </row>
    <row r="22" spans="1:19" ht="21.65" customHeight="1">
      <c r="A22" s="835"/>
      <c r="B22" s="909" t="s">
        <v>149</v>
      </c>
      <c r="C22" s="909"/>
      <c r="D22" s="375"/>
      <c r="E22" s="910" t="s">
        <v>152</v>
      </c>
      <c r="F22" s="911"/>
      <c r="G22" s="382">
        <f>ROUND(G21,0)</f>
        <v>1</v>
      </c>
      <c r="H22" s="359"/>
      <c r="I22" s="910" t="s">
        <v>153</v>
      </c>
      <c r="J22" s="911"/>
      <c r="K22" s="382">
        <f>INT(K21)</f>
        <v>1</v>
      </c>
      <c r="L22" s="360"/>
      <c r="M22" s="910" t="s">
        <v>154</v>
      </c>
      <c r="N22" s="911"/>
      <c r="O22" s="382">
        <f>INT(O21)</f>
        <v>2</v>
      </c>
      <c r="P22" s="316"/>
      <c r="Q22" s="916" t="s">
        <v>155</v>
      </c>
      <c r="R22" s="917"/>
      <c r="S22" s="383">
        <f>INT(S21)</f>
        <v>1</v>
      </c>
    </row>
    <row r="23" spans="1:19" ht="6.65" customHeight="1" thickBot="1">
      <c r="A23" s="836"/>
      <c r="B23" s="384"/>
      <c r="C23" s="377"/>
      <c r="D23" s="375"/>
      <c r="E23" s="377"/>
      <c r="F23" s="385"/>
      <c r="G23" s="385"/>
      <c r="H23" s="359"/>
      <c r="I23" s="386"/>
      <c r="J23" s="387"/>
      <c r="K23" s="387"/>
      <c r="L23" s="360"/>
      <c r="M23" s="386"/>
      <c r="N23" s="387"/>
      <c r="O23" s="387"/>
      <c r="P23" s="316"/>
      <c r="Q23" s="386"/>
      <c r="R23" s="387"/>
      <c r="S23" s="388"/>
    </row>
    <row r="24" spans="1:19" ht="18" customHeight="1">
      <c r="A24" s="940" t="s">
        <v>138</v>
      </c>
      <c r="B24" s="936" t="s">
        <v>147</v>
      </c>
      <c r="C24" s="920" t="s">
        <v>488</v>
      </c>
      <c r="D24" s="389"/>
      <c r="E24" s="931" t="s">
        <v>138</v>
      </c>
      <c r="F24" s="932"/>
      <c r="G24" s="933"/>
      <c r="I24" s="925" t="s">
        <v>240</v>
      </c>
      <c r="J24" s="926"/>
      <c r="K24" s="927"/>
      <c r="L24" s="180"/>
      <c r="M24" s="928" t="s">
        <v>241</v>
      </c>
      <c r="N24" s="929"/>
      <c r="O24" s="930"/>
      <c r="Q24" s="952" t="s">
        <v>242</v>
      </c>
      <c r="R24" s="953"/>
      <c r="S24" s="954"/>
    </row>
    <row r="25" spans="1:19" ht="49.5" customHeight="1">
      <c r="A25" s="940"/>
      <c r="B25" s="849"/>
      <c r="C25" s="921"/>
      <c r="D25" s="356"/>
      <c r="E25" s="357" t="s">
        <v>489</v>
      </c>
      <c r="F25" s="358" t="s">
        <v>487</v>
      </c>
      <c r="G25" s="267" t="s">
        <v>156</v>
      </c>
      <c r="H25" s="193"/>
      <c r="I25" s="390" t="s">
        <v>489</v>
      </c>
      <c r="J25" s="358" t="s">
        <v>487</v>
      </c>
      <c r="K25" s="267" t="s">
        <v>156</v>
      </c>
      <c r="L25" s="391"/>
      <c r="M25" s="392" t="s">
        <v>489</v>
      </c>
      <c r="N25" s="358" t="s">
        <v>487</v>
      </c>
      <c r="O25" s="267" t="s">
        <v>156</v>
      </c>
      <c r="P25" s="181"/>
      <c r="Q25" s="390" t="s">
        <v>489</v>
      </c>
      <c r="R25" s="358" t="s">
        <v>487</v>
      </c>
      <c r="S25" s="393" t="s">
        <v>156</v>
      </c>
    </row>
    <row r="26" spans="1:19" ht="18" customHeight="1">
      <c r="A26" s="940"/>
      <c r="B26" s="897" t="s">
        <v>126</v>
      </c>
      <c r="C26" s="897"/>
      <c r="D26" s="394"/>
      <c r="E26" s="270"/>
      <c r="F26" s="271"/>
      <c r="G26" s="272"/>
      <c r="H26" s="193"/>
      <c r="I26" s="271"/>
      <c r="J26" s="271"/>
      <c r="K26" s="272"/>
      <c r="L26" s="391"/>
      <c r="M26" s="271"/>
      <c r="N26" s="271"/>
      <c r="O26" s="272"/>
      <c r="P26" s="181"/>
      <c r="Q26" s="271"/>
      <c r="R26" s="271"/>
      <c r="S26" s="395"/>
    </row>
    <row r="27" spans="1:19" ht="18" customHeight="1">
      <c r="A27" s="940"/>
      <c r="B27" s="288" t="s">
        <v>127</v>
      </c>
      <c r="C27" s="348">
        <v>1200</v>
      </c>
      <c r="D27" s="364"/>
      <c r="E27" s="365">
        <v>1864.35</v>
      </c>
      <c r="F27" s="396">
        <v>1072</v>
      </c>
      <c r="G27" s="368">
        <f>ROUND(F27/E27,4)</f>
        <v>0.57499999999999996</v>
      </c>
      <c r="H27" s="193"/>
      <c r="I27" s="374">
        <v>994.76</v>
      </c>
      <c r="J27" s="283">
        <v>759</v>
      </c>
      <c r="K27" s="368">
        <f>ROUND(J27/I27,4)</f>
        <v>0.76300000000000001</v>
      </c>
      <c r="L27" s="391"/>
      <c r="M27" s="374">
        <v>948.47</v>
      </c>
      <c r="N27" s="283">
        <v>644</v>
      </c>
      <c r="O27" s="368">
        <f>ROUND(N27/M27,4)</f>
        <v>0.67900000000000005</v>
      </c>
      <c r="P27" s="181"/>
      <c r="Q27" s="397">
        <v>496.4</v>
      </c>
      <c r="R27" s="283">
        <v>413.5</v>
      </c>
      <c r="S27" s="368">
        <f>ROUND(R27/Q27,4)</f>
        <v>0.83299999999999996</v>
      </c>
    </row>
    <row r="28" spans="1:19" ht="18" customHeight="1">
      <c r="A28" s="940"/>
      <c r="B28" s="288" t="s">
        <v>128</v>
      </c>
      <c r="C28" s="348">
        <v>2500</v>
      </c>
      <c r="D28" s="364"/>
      <c r="E28" s="369">
        <v>2500</v>
      </c>
      <c r="F28" s="334"/>
      <c r="G28" s="368">
        <f t="shared" ref="G28:G34" si="8">ROUND(F28/E28,4)</f>
        <v>0</v>
      </c>
      <c r="H28" s="193"/>
      <c r="I28" s="348">
        <v>2500</v>
      </c>
      <c r="J28" s="283">
        <v>18</v>
      </c>
      <c r="K28" s="368">
        <f t="shared" ref="K28:K30" si="9">ROUND(J28/I28,4)</f>
        <v>7.1999999999999998E-3</v>
      </c>
      <c r="L28" s="391"/>
      <c r="M28" s="348">
        <v>2500</v>
      </c>
      <c r="N28" s="283">
        <v>325</v>
      </c>
      <c r="O28" s="368">
        <f t="shared" ref="O28:O30" si="10">ROUND(N28/M28,4)</f>
        <v>0.13</v>
      </c>
      <c r="P28" s="181"/>
      <c r="Q28" s="348">
        <v>2500</v>
      </c>
      <c r="R28" s="283">
        <v>8</v>
      </c>
      <c r="S28" s="368">
        <f t="shared" ref="S28:S30" si="11">ROUND(R28/Q28,4)</f>
        <v>3.2000000000000002E-3</v>
      </c>
    </row>
    <row r="29" spans="1:19" ht="18.649999999999999" customHeight="1">
      <c r="A29" s="940"/>
      <c r="B29" s="304" t="s">
        <v>130</v>
      </c>
      <c r="C29" s="348">
        <v>300</v>
      </c>
      <c r="D29" s="364"/>
      <c r="E29" s="398">
        <v>300</v>
      </c>
      <c r="F29" s="396">
        <v>91.16</v>
      </c>
      <c r="G29" s="368">
        <f t="shared" si="8"/>
        <v>0.3039</v>
      </c>
      <c r="H29" s="193"/>
      <c r="I29" s="289">
        <v>300</v>
      </c>
      <c r="J29" s="283"/>
      <c r="K29" s="368">
        <f t="shared" si="9"/>
        <v>0</v>
      </c>
      <c r="L29" s="391"/>
      <c r="M29" s="289">
        <v>300</v>
      </c>
      <c r="N29" s="291"/>
      <c r="O29" s="368">
        <f t="shared" si="10"/>
        <v>0</v>
      </c>
      <c r="P29" s="181"/>
      <c r="Q29" s="399">
        <v>300</v>
      </c>
      <c r="R29" s="291">
        <v>26.88</v>
      </c>
      <c r="S29" s="368">
        <f t="shared" si="11"/>
        <v>8.9599999999999999E-2</v>
      </c>
    </row>
    <row r="30" spans="1:19" ht="18.649999999999999" customHeight="1">
      <c r="A30" s="940"/>
      <c r="B30" s="341" t="s">
        <v>281</v>
      </c>
      <c r="C30" s="371">
        <v>300</v>
      </c>
      <c r="D30" s="372"/>
      <c r="E30" s="365">
        <v>13.72</v>
      </c>
      <c r="F30" s="396">
        <v>13.31</v>
      </c>
      <c r="G30" s="368">
        <f t="shared" si="8"/>
        <v>0.97009999999999996</v>
      </c>
      <c r="H30" s="193"/>
      <c r="I30" s="289">
        <v>300</v>
      </c>
      <c r="J30" s="283">
        <v>53</v>
      </c>
      <c r="K30" s="368">
        <f t="shared" si="9"/>
        <v>0.1767</v>
      </c>
      <c r="L30" s="391"/>
      <c r="M30" s="289">
        <v>300</v>
      </c>
      <c r="N30" s="291">
        <v>41</v>
      </c>
      <c r="O30" s="368">
        <f t="shared" si="10"/>
        <v>0.13669999999999999</v>
      </c>
      <c r="P30" s="181"/>
      <c r="Q30" s="399">
        <v>300</v>
      </c>
      <c r="R30" s="291">
        <v>2.62</v>
      </c>
      <c r="S30" s="368">
        <f t="shared" si="11"/>
        <v>8.6999999999999994E-3</v>
      </c>
    </row>
    <row r="31" spans="1:19" ht="18.649999999999999" customHeight="1">
      <c r="A31" s="940"/>
      <c r="B31" s="897" t="s">
        <v>132</v>
      </c>
      <c r="C31" s="897"/>
      <c r="D31" s="363"/>
      <c r="E31" s="270"/>
      <c r="F31" s="271"/>
      <c r="G31" s="272"/>
      <c r="H31" s="193"/>
      <c r="I31" s="271"/>
      <c r="J31" s="271"/>
      <c r="K31" s="272"/>
      <c r="L31" s="391"/>
      <c r="M31" s="271"/>
      <c r="N31" s="271"/>
      <c r="O31" s="272"/>
      <c r="P31" s="181"/>
      <c r="Q31" s="271"/>
      <c r="R31" s="271"/>
      <c r="S31" s="395"/>
    </row>
    <row r="32" spans="1:19" ht="31.5" customHeight="1">
      <c r="A32" s="940"/>
      <c r="B32" s="344" t="s">
        <v>133</v>
      </c>
      <c r="C32" s="350">
        <v>2700</v>
      </c>
      <c r="D32" s="375"/>
      <c r="E32" s="377">
        <v>2700</v>
      </c>
      <c r="F32" s="283">
        <v>197</v>
      </c>
      <c r="G32" s="368">
        <f t="shared" si="8"/>
        <v>7.2999999999999995E-2</v>
      </c>
      <c r="H32" s="193"/>
      <c r="I32" s="350">
        <v>2700</v>
      </c>
      <c r="J32" s="283">
        <v>43</v>
      </c>
      <c r="K32" s="368">
        <f t="shared" ref="K32:K34" si="12">ROUND(J32/I32,4)</f>
        <v>1.5900000000000001E-2</v>
      </c>
      <c r="L32" s="391"/>
      <c r="M32" s="350">
        <v>2700</v>
      </c>
      <c r="N32" s="283">
        <v>81</v>
      </c>
      <c r="O32" s="368">
        <f t="shared" ref="O32:O34" si="13">ROUND(N32/M32,4)</f>
        <v>0.03</v>
      </c>
      <c r="P32" s="181"/>
      <c r="Q32" s="350">
        <v>2700</v>
      </c>
      <c r="R32" s="291">
        <v>132</v>
      </c>
      <c r="S32" s="368">
        <f t="shared" ref="S32:S34" si="14">ROUND(R32/Q32,4)</f>
        <v>4.8899999999999999E-2</v>
      </c>
    </row>
    <row r="33" spans="1:19" ht="28" customHeight="1">
      <c r="A33" s="940"/>
      <c r="B33" s="304" t="s">
        <v>148</v>
      </c>
      <c r="C33" s="350">
        <v>2700</v>
      </c>
      <c r="D33" s="375"/>
      <c r="E33" s="377">
        <v>2700</v>
      </c>
      <c r="F33" s="291">
        <v>87</v>
      </c>
      <c r="G33" s="368">
        <f t="shared" si="8"/>
        <v>3.2199999999999999E-2</v>
      </c>
      <c r="H33" s="193"/>
      <c r="I33" s="350">
        <v>2700</v>
      </c>
      <c r="J33" s="283">
        <v>30</v>
      </c>
      <c r="K33" s="368">
        <f t="shared" si="12"/>
        <v>1.11E-2</v>
      </c>
      <c r="L33" s="391"/>
      <c r="M33" s="350">
        <v>2700</v>
      </c>
      <c r="N33" s="283">
        <v>5</v>
      </c>
      <c r="O33" s="368">
        <f t="shared" si="13"/>
        <v>1.9E-3</v>
      </c>
      <c r="P33" s="181"/>
      <c r="Q33" s="350">
        <v>2700</v>
      </c>
      <c r="R33" s="283">
        <v>14</v>
      </c>
      <c r="S33" s="368">
        <f t="shared" si="14"/>
        <v>5.1999999999999998E-3</v>
      </c>
    </row>
    <row r="34" spans="1:19" ht="28" customHeight="1">
      <c r="A34" s="940"/>
      <c r="B34" s="304" t="s">
        <v>135</v>
      </c>
      <c r="C34" s="350">
        <v>100000</v>
      </c>
      <c r="D34" s="375"/>
      <c r="E34" s="377">
        <v>100000</v>
      </c>
      <c r="F34" s="291"/>
      <c r="G34" s="368">
        <f t="shared" si="8"/>
        <v>0</v>
      </c>
      <c r="H34" s="193"/>
      <c r="I34" s="350">
        <v>100000</v>
      </c>
      <c r="J34" s="291"/>
      <c r="K34" s="368">
        <f t="shared" si="12"/>
        <v>0</v>
      </c>
      <c r="L34" s="391"/>
      <c r="M34" s="350">
        <v>100000</v>
      </c>
      <c r="N34" s="291">
        <v>5</v>
      </c>
      <c r="O34" s="368">
        <f t="shared" si="13"/>
        <v>1E-4</v>
      </c>
      <c r="P34" s="181"/>
      <c r="Q34" s="350">
        <v>100000</v>
      </c>
      <c r="R34" s="291"/>
      <c r="S34" s="368">
        <f t="shared" si="14"/>
        <v>0</v>
      </c>
    </row>
    <row r="35" spans="1:19" ht="18" customHeight="1">
      <c r="A35" s="940"/>
      <c r="B35" s="337" t="s">
        <v>136</v>
      </c>
      <c r="C35" s="271"/>
      <c r="D35" s="363"/>
      <c r="E35" s="270"/>
      <c r="F35" s="271"/>
      <c r="G35" s="272"/>
      <c r="H35" s="193"/>
      <c r="I35" s="271"/>
      <c r="J35" s="271"/>
      <c r="K35" s="272"/>
      <c r="L35" s="391"/>
      <c r="M35" s="271"/>
      <c r="N35" s="271"/>
      <c r="O35" s="272"/>
      <c r="P35" s="181"/>
      <c r="Q35" s="271"/>
      <c r="R35" s="271"/>
      <c r="S35" s="395"/>
    </row>
    <row r="36" spans="1:19" ht="28" customHeight="1">
      <c r="A36" s="940"/>
      <c r="B36" s="309" t="s">
        <v>316</v>
      </c>
      <c r="C36" s="350">
        <v>380</v>
      </c>
      <c r="D36" s="375"/>
      <c r="E36" s="377">
        <v>380</v>
      </c>
      <c r="F36" s="291">
        <v>73</v>
      </c>
      <c r="G36" s="379">
        <f>ROUND((16/(188.76*E36))*F36,5)</f>
        <v>1.6279999999999999E-2</v>
      </c>
      <c r="H36" s="193"/>
      <c r="I36" s="350">
        <v>380</v>
      </c>
      <c r="J36" s="291">
        <v>30</v>
      </c>
      <c r="K36" s="379">
        <f>ROUND((16/(188.76*I36))*J36,5)</f>
        <v>6.6899999999999998E-3</v>
      </c>
      <c r="L36" s="391"/>
      <c r="M36" s="350">
        <v>380</v>
      </c>
      <c r="N36" s="291"/>
      <c r="O36" s="379">
        <f>ROUND((16/(188.76*M36))*N36,5)</f>
        <v>0</v>
      </c>
      <c r="P36" s="181"/>
      <c r="Q36" s="350">
        <v>380</v>
      </c>
      <c r="R36" s="291">
        <v>9</v>
      </c>
      <c r="S36" s="379">
        <f>ROUND((16/(188.76*Q36))*R36,5)</f>
        <v>2.0100000000000001E-3</v>
      </c>
    </row>
    <row r="37" spans="1:19" ht="31" customHeight="1">
      <c r="A37" s="940"/>
      <c r="B37" s="312" t="s">
        <v>317</v>
      </c>
      <c r="C37" s="350">
        <v>380</v>
      </c>
      <c r="D37" s="375"/>
      <c r="E37" s="377">
        <v>380</v>
      </c>
      <c r="F37" s="283">
        <v>157</v>
      </c>
      <c r="G37" s="379">
        <f>ROUND((16/(188.76*E37))*F37,5)</f>
        <v>3.5020000000000003E-2</v>
      </c>
      <c r="H37" s="193"/>
      <c r="I37" s="350">
        <v>380</v>
      </c>
      <c r="J37" s="283">
        <v>90</v>
      </c>
      <c r="K37" s="379">
        <f>ROUND((16/(188.76*I37))*J37,5)</f>
        <v>2.0080000000000001E-2</v>
      </c>
      <c r="L37" s="391"/>
      <c r="M37" s="350">
        <v>380</v>
      </c>
      <c r="N37" s="283">
        <v>100</v>
      </c>
      <c r="O37" s="379">
        <f>ROUND((16/(188.76*M37))*N37,5)</f>
        <v>2.231E-2</v>
      </c>
      <c r="P37" s="181"/>
      <c r="Q37" s="350">
        <v>380</v>
      </c>
      <c r="R37" s="283">
        <v>41</v>
      </c>
      <c r="S37" s="379">
        <f>ROUND((16/(188.76*Q37))*R37,5)</f>
        <v>9.1500000000000001E-3</v>
      </c>
    </row>
    <row r="38" spans="1:19" ht="21" customHeight="1">
      <c r="A38" s="940"/>
      <c r="B38" s="907" t="s">
        <v>151</v>
      </c>
      <c r="C38" s="907"/>
      <c r="D38" s="316"/>
      <c r="E38" s="912" t="s">
        <v>151</v>
      </c>
      <c r="F38" s="799"/>
      <c r="G38" s="381">
        <f>SUM(G27:G30,G32,G33,G34,G36,G37)</f>
        <v>2.0055000000000001</v>
      </c>
      <c r="H38" s="400"/>
      <c r="I38" s="912" t="s">
        <v>151</v>
      </c>
      <c r="J38" s="799"/>
      <c r="K38" s="381">
        <f>SUM(K27:K30,K32,K33,K34,K36,K37)</f>
        <v>1.0006699999999999</v>
      </c>
      <c r="L38" s="360"/>
      <c r="M38" s="912" t="s">
        <v>151</v>
      </c>
      <c r="N38" s="799"/>
      <c r="O38" s="381">
        <f>SUM(O27:O30,O32,O33,O34,O36,O37)</f>
        <v>1.0000100000000001</v>
      </c>
      <c r="P38" s="316"/>
      <c r="Q38" s="912" t="s">
        <v>151</v>
      </c>
      <c r="R38" s="799"/>
      <c r="S38" s="381">
        <f>SUM(S27:S30,S32,S33,S34,S36,S37)</f>
        <v>0.99975999999999998</v>
      </c>
    </row>
    <row r="39" spans="1:19" ht="21.65" customHeight="1">
      <c r="A39" s="940"/>
      <c r="B39" s="909" t="s">
        <v>149</v>
      </c>
      <c r="C39" s="909"/>
      <c r="D39" s="375"/>
      <c r="E39" s="910" t="s">
        <v>138</v>
      </c>
      <c r="F39" s="911"/>
      <c r="G39" s="382">
        <f>ROUND(G38,0)</f>
        <v>2</v>
      </c>
      <c r="H39" s="359"/>
      <c r="I39" s="910" t="s">
        <v>157</v>
      </c>
      <c r="J39" s="911"/>
      <c r="K39" s="382">
        <f>K38</f>
        <v>1</v>
      </c>
      <c r="L39" s="360"/>
      <c r="M39" s="910" t="s">
        <v>158</v>
      </c>
      <c r="N39" s="911"/>
      <c r="O39" s="382">
        <f>ROUND(O38,0)</f>
        <v>1</v>
      </c>
      <c r="P39" s="316"/>
      <c r="Q39" s="910" t="s">
        <v>159</v>
      </c>
      <c r="R39" s="911"/>
      <c r="S39" s="401">
        <f>ROUND(S38,0)</f>
        <v>1</v>
      </c>
    </row>
    <row r="40" spans="1:19" ht="6.65" customHeight="1" thickBot="1">
      <c r="A40" s="940"/>
      <c r="B40" s="384"/>
      <c r="C40" s="377"/>
      <c r="D40" s="375"/>
      <c r="E40" s="377"/>
      <c r="F40" s="385"/>
      <c r="G40" s="385"/>
      <c r="H40" s="359"/>
      <c r="I40" s="377"/>
      <c r="J40" s="385"/>
      <c r="K40" s="385"/>
      <c r="L40" s="360"/>
      <c r="M40" s="377"/>
      <c r="N40" s="385"/>
      <c r="O40" s="385"/>
      <c r="P40" s="316"/>
      <c r="Q40" s="377"/>
      <c r="R40" s="385"/>
      <c r="S40" s="402"/>
    </row>
    <row r="41" spans="1:19" ht="18.649999999999999" customHeight="1">
      <c r="A41" s="847" t="s">
        <v>142</v>
      </c>
      <c r="B41" s="941" t="s">
        <v>147</v>
      </c>
      <c r="C41" s="951" t="s">
        <v>488</v>
      </c>
      <c r="D41" s="360"/>
      <c r="E41" s="937" t="s">
        <v>142</v>
      </c>
      <c r="F41" s="938"/>
      <c r="G41" s="939"/>
    </row>
    <row r="42" spans="1:19" ht="49" customHeight="1">
      <c r="A42" s="847"/>
      <c r="B42" s="849"/>
      <c r="C42" s="921"/>
      <c r="D42" s="356"/>
      <c r="E42" s="403" t="s">
        <v>489</v>
      </c>
      <c r="F42" s="358" t="s">
        <v>487</v>
      </c>
      <c r="G42" s="393" t="s">
        <v>156</v>
      </c>
    </row>
    <row r="43" spans="1:19" ht="18.649999999999999" customHeight="1">
      <c r="A43" s="847"/>
      <c r="B43" s="897" t="s">
        <v>126</v>
      </c>
      <c r="C43" s="897"/>
      <c r="D43" s="363"/>
      <c r="E43" s="270"/>
      <c r="F43" s="271"/>
      <c r="G43" s="395"/>
    </row>
    <row r="44" spans="1:19" ht="18.649999999999999" customHeight="1">
      <c r="A44" s="847"/>
      <c r="B44" s="288" t="s">
        <v>127</v>
      </c>
      <c r="C44" s="348">
        <v>1200</v>
      </c>
      <c r="D44" s="364"/>
      <c r="E44" s="365">
        <v>1371.07</v>
      </c>
      <c r="F44" s="283">
        <v>1582.21</v>
      </c>
      <c r="G44" s="368">
        <f>ROUND(F44/E44,4)</f>
        <v>1.1539999999999999</v>
      </c>
    </row>
    <row r="45" spans="1:19" ht="18.649999999999999" customHeight="1">
      <c r="A45" s="847"/>
      <c r="B45" s="288" t="s">
        <v>128</v>
      </c>
      <c r="C45" s="348">
        <v>2500</v>
      </c>
      <c r="D45" s="364"/>
      <c r="E45" s="348">
        <v>2500</v>
      </c>
      <c r="F45" s="283">
        <v>252.4</v>
      </c>
      <c r="G45" s="368">
        <f t="shared" ref="G45:G47" si="15">ROUND(F45/E45,4)</f>
        <v>0.10100000000000001</v>
      </c>
    </row>
    <row r="46" spans="1:19" ht="27" customHeight="1">
      <c r="A46" s="847"/>
      <c r="B46" s="288" t="s">
        <v>129</v>
      </c>
      <c r="C46" s="348">
        <v>1500</v>
      </c>
      <c r="D46" s="364"/>
      <c r="E46" s="348">
        <v>1500</v>
      </c>
      <c r="F46" s="283">
        <v>842.36</v>
      </c>
      <c r="G46" s="368">
        <f t="shared" si="15"/>
        <v>0.56159999999999999</v>
      </c>
    </row>
    <row r="47" spans="1:19" ht="18.649999999999999" customHeight="1">
      <c r="A47" s="847"/>
      <c r="B47" s="341" t="s">
        <v>281</v>
      </c>
      <c r="C47" s="371">
        <v>300</v>
      </c>
      <c r="D47" s="372"/>
      <c r="E47" s="365">
        <v>135.49</v>
      </c>
      <c r="F47" s="283">
        <v>135.49</v>
      </c>
      <c r="G47" s="368">
        <f t="shared" si="15"/>
        <v>1</v>
      </c>
    </row>
    <row r="48" spans="1:19" ht="18" customHeight="1">
      <c r="A48" s="847"/>
      <c r="B48" s="337" t="s">
        <v>136</v>
      </c>
      <c r="C48" s="271"/>
      <c r="D48" s="363"/>
      <c r="E48" s="270"/>
      <c r="F48" s="271"/>
      <c r="G48" s="395"/>
    </row>
    <row r="49" spans="1:21" ht="30.5" customHeight="1">
      <c r="A49" s="847"/>
      <c r="B49" s="309" t="s">
        <v>316</v>
      </c>
      <c r="C49" s="350">
        <v>380</v>
      </c>
      <c r="D49" s="375"/>
      <c r="E49" s="350">
        <v>380</v>
      </c>
      <c r="F49" s="291">
        <v>410.4</v>
      </c>
      <c r="G49" s="379">
        <f>ROUND((16/(188.76*E49))*F49,5)</f>
        <v>9.1539999999999996E-2</v>
      </c>
      <c r="I49" s="189"/>
      <c r="J49" s="189"/>
      <c r="K49" s="189"/>
      <c r="M49" s="189"/>
      <c r="N49" s="189"/>
      <c r="O49" s="189"/>
      <c r="P49" s="189"/>
      <c r="Q49" s="189"/>
      <c r="R49" s="189"/>
      <c r="S49" s="189"/>
      <c r="T49" s="189"/>
      <c r="U49" s="189"/>
    </row>
    <row r="50" spans="1:21" ht="30.5" customHeight="1">
      <c r="A50" s="847"/>
      <c r="B50" s="312" t="s">
        <v>317</v>
      </c>
      <c r="C50" s="350">
        <v>380</v>
      </c>
      <c r="D50" s="375"/>
      <c r="E50" s="350">
        <v>380</v>
      </c>
      <c r="F50" s="283">
        <v>410.4</v>
      </c>
      <c r="G50" s="379">
        <f>ROUND((16/(188.76*E50))*F50,5)</f>
        <v>9.1539999999999996E-2</v>
      </c>
      <c r="I50" s="189"/>
      <c r="J50" s="189"/>
      <c r="K50" s="189"/>
      <c r="M50" s="189"/>
      <c r="N50" s="189"/>
      <c r="O50" s="189"/>
      <c r="P50" s="189"/>
      <c r="Q50" s="189"/>
      <c r="R50" s="189"/>
      <c r="S50" s="189"/>
      <c r="T50" s="189"/>
      <c r="U50" s="189"/>
    </row>
    <row r="51" spans="1:21" ht="21" customHeight="1">
      <c r="A51" s="847"/>
      <c r="B51" s="907" t="s">
        <v>151</v>
      </c>
      <c r="C51" s="907"/>
      <c r="D51" s="316"/>
      <c r="E51" s="799" t="s">
        <v>151</v>
      </c>
      <c r="F51" s="799"/>
      <c r="G51" s="381">
        <f>SUM(G49:G50,G47,G46,G45,G44)</f>
        <v>2.9996800000000001</v>
      </c>
      <c r="H51" s="391"/>
      <c r="I51" s="913"/>
      <c r="J51" s="913"/>
      <c r="K51" s="404"/>
      <c r="M51" s="913"/>
      <c r="N51" s="913"/>
      <c r="O51" s="404"/>
      <c r="P51" s="189"/>
      <c r="Q51" s="913"/>
      <c r="R51" s="913"/>
      <c r="S51" s="404"/>
      <c r="T51" s="189"/>
      <c r="U51" s="189"/>
    </row>
    <row r="52" spans="1:21" ht="21.65" customHeight="1" thickBot="1">
      <c r="A52" s="847"/>
      <c r="B52" s="934" t="s">
        <v>149</v>
      </c>
      <c r="C52" s="934"/>
      <c r="D52" s="405"/>
      <c r="E52" s="935" t="s">
        <v>142</v>
      </c>
      <c r="F52" s="935"/>
      <c r="G52" s="383">
        <f>ROUND(G51,0)</f>
        <v>3</v>
      </c>
      <c r="H52" s="391"/>
      <c r="I52" s="906"/>
      <c r="J52" s="906"/>
      <c r="K52" s="328"/>
      <c r="M52" s="906"/>
      <c r="N52" s="906"/>
      <c r="O52" s="328"/>
      <c r="P52" s="189"/>
      <c r="Q52" s="906"/>
      <c r="R52" s="906"/>
      <c r="S52" s="328"/>
      <c r="T52" s="189"/>
      <c r="U52" s="189"/>
    </row>
    <row r="53" spans="1:21" ht="18.649999999999999" customHeight="1">
      <c r="A53" s="948" t="s">
        <v>143</v>
      </c>
      <c r="B53" s="936" t="s">
        <v>147</v>
      </c>
      <c r="C53" s="920" t="s">
        <v>488</v>
      </c>
      <c r="D53" s="389"/>
      <c r="E53" s="918" t="s">
        <v>143</v>
      </c>
      <c r="F53" s="918"/>
      <c r="G53" s="918"/>
      <c r="H53" s="189"/>
      <c r="I53" s="189"/>
      <c r="J53" s="189"/>
      <c r="K53" s="189"/>
      <c r="M53" s="189"/>
      <c r="N53" s="189"/>
      <c r="O53" s="189"/>
      <c r="P53" s="189"/>
      <c r="Q53" s="189"/>
      <c r="R53" s="189"/>
      <c r="S53" s="189"/>
      <c r="T53" s="189"/>
    </row>
    <row r="54" spans="1:21" ht="39.65" customHeight="1">
      <c r="A54" s="949"/>
      <c r="B54" s="849"/>
      <c r="C54" s="921"/>
      <c r="D54" s="356"/>
      <c r="E54" s="362" t="s">
        <v>489</v>
      </c>
      <c r="F54" s="264" t="s">
        <v>487</v>
      </c>
      <c r="G54" s="264" t="s">
        <v>156</v>
      </c>
    </row>
    <row r="55" spans="1:21" ht="18.649999999999999" customHeight="1">
      <c r="A55" s="949"/>
      <c r="B55" s="897" t="s">
        <v>126</v>
      </c>
      <c r="C55" s="897"/>
      <c r="D55" s="363"/>
      <c r="E55" s="307"/>
      <c r="F55" s="307"/>
      <c r="G55" s="307"/>
    </row>
    <row r="56" spans="1:21" ht="18.649999999999999" customHeight="1">
      <c r="A56" s="949"/>
      <c r="B56" s="288" t="s">
        <v>127</v>
      </c>
      <c r="C56" s="348">
        <v>1200</v>
      </c>
      <c r="D56" s="364"/>
      <c r="E56" s="406">
        <v>1298.22</v>
      </c>
      <c r="F56" s="283">
        <v>10100.19</v>
      </c>
      <c r="G56" s="368">
        <f t="shared" ref="G56:G59" si="16">ROUND(F56/E56,4)</f>
        <v>7.78</v>
      </c>
    </row>
    <row r="57" spans="1:21" ht="18.649999999999999" customHeight="1">
      <c r="A57" s="949"/>
      <c r="B57" s="341" t="s">
        <v>281</v>
      </c>
      <c r="C57" s="371">
        <v>300</v>
      </c>
      <c r="D57" s="372"/>
      <c r="E57" s="406">
        <v>80.81</v>
      </c>
      <c r="F57" s="283">
        <v>80.81</v>
      </c>
      <c r="G57" s="368">
        <f t="shared" si="16"/>
        <v>1</v>
      </c>
    </row>
    <row r="58" spans="1:21" ht="18.649999999999999" customHeight="1">
      <c r="A58" s="949"/>
      <c r="B58" s="897" t="s">
        <v>132</v>
      </c>
      <c r="C58" s="897"/>
      <c r="D58" s="363"/>
      <c r="E58" s="307"/>
      <c r="F58" s="307"/>
      <c r="G58" s="307"/>
    </row>
    <row r="59" spans="1:21" ht="30" customHeight="1">
      <c r="A59" s="949"/>
      <c r="B59" s="344" t="s">
        <v>133</v>
      </c>
      <c r="C59" s="350">
        <v>2700</v>
      </c>
      <c r="D59" s="375"/>
      <c r="E59" s="334">
        <v>2700</v>
      </c>
      <c r="F59" s="283">
        <v>2450</v>
      </c>
      <c r="G59" s="368">
        <f t="shared" si="16"/>
        <v>0.90739999999999998</v>
      </c>
    </row>
    <row r="60" spans="1:21" ht="18" customHeight="1">
      <c r="A60" s="949"/>
      <c r="B60" s="337" t="s">
        <v>136</v>
      </c>
      <c r="C60" s="271"/>
      <c r="D60" s="363"/>
      <c r="E60" s="307"/>
      <c r="F60" s="307"/>
      <c r="G60" s="307"/>
    </row>
    <row r="61" spans="1:21" ht="28.5" customHeight="1">
      <c r="A61" s="949"/>
      <c r="B61" s="312" t="s">
        <v>317</v>
      </c>
      <c r="C61" s="350">
        <v>380</v>
      </c>
      <c r="D61" s="375"/>
      <c r="E61" s="305">
        <v>380</v>
      </c>
      <c r="F61" s="283">
        <v>993</v>
      </c>
      <c r="G61" s="381">
        <f>ROUND((16/(188.76*E61))*F61,5)</f>
        <v>0.2215</v>
      </c>
    </row>
    <row r="62" spans="1:21" ht="21" customHeight="1">
      <c r="A62" s="949"/>
      <c r="B62" s="907" t="s">
        <v>151</v>
      </c>
      <c r="C62" s="907"/>
      <c r="D62" s="316"/>
      <c r="E62" s="799" t="s">
        <v>151</v>
      </c>
      <c r="F62" s="799"/>
      <c r="G62" s="381">
        <f>SUM(G61:G61,G59,G57,G56)</f>
        <v>9.9088999999999992</v>
      </c>
      <c r="H62" s="391"/>
      <c r="I62" s="913"/>
      <c r="J62" s="913"/>
      <c r="K62" s="404"/>
      <c r="M62" s="913"/>
      <c r="N62" s="913"/>
      <c r="O62" s="404"/>
      <c r="P62" s="189"/>
      <c r="Q62" s="913"/>
      <c r="R62" s="913"/>
      <c r="S62" s="404"/>
      <c r="T62" s="189"/>
      <c r="U62" s="189"/>
    </row>
    <row r="63" spans="1:21" ht="21.65" customHeight="1">
      <c r="A63" s="949"/>
      <c r="B63" s="909" t="s">
        <v>149</v>
      </c>
      <c r="C63" s="909"/>
      <c r="D63" s="375"/>
      <c r="E63" s="935" t="s">
        <v>143</v>
      </c>
      <c r="F63" s="935"/>
      <c r="G63" s="383">
        <f>ROUND(G62,0)</f>
        <v>10</v>
      </c>
      <c r="H63" s="391"/>
      <c r="I63" s="906"/>
      <c r="J63" s="906"/>
      <c r="K63" s="328"/>
      <c r="M63" s="906"/>
      <c r="N63" s="906"/>
      <c r="O63" s="328"/>
      <c r="P63" s="189"/>
      <c r="Q63" s="906"/>
      <c r="R63" s="906"/>
      <c r="S63" s="328"/>
      <c r="T63" s="189"/>
      <c r="U63" s="189"/>
    </row>
    <row r="64" spans="1:21" ht="6.65" customHeight="1" thickBot="1">
      <c r="A64" s="950"/>
      <c r="B64" s="384"/>
      <c r="C64" s="377"/>
      <c r="D64" s="375"/>
      <c r="E64" s="922"/>
      <c r="F64" s="923"/>
      <c r="G64" s="924"/>
      <c r="H64" s="391"/>
      <c r="I64" s="325"/>
      <c r="J64" s="404"/>
      <c r="K64" s="404"/>
      <c r="M64" s="325"/>
      <c r="N64" s="404"/>
      <c r="O64" s="404"/>
      <c r="P64" s="189"/>
      <c r="Q64" s="325"/>
      <c r="R64" s="404"/>
      <c r="S64" s="404"/>
      <c r="T64" s="189"/>
      <c r="U64" s="189"/>
    </row>
    <row r="65" spans="1:21" ht="18.649999999999999" customHeight="1">
      <c r="A65" s="834" t="s">
        <v>144</v>
      </c>
      <c r="B65" s="919" t="s">
        <v>147</v>
      </c>
      <c r="C65" s="920" t="s">
        <v>488</v>
      </c>
      <c r="D65" s="389"/>
      <c r="E65" s="908" t="s">
        <v>282</v>
      </c>
      <c r="F65" s="908"/>
      <c r="G65" s="908"/>
    </row>
    <row r="66" spans="1:21" ht="36.65" customHeight="1">
      <c r="A66" s="835"/>
      <c r="B66" s="901"/>
      <c r="C66" s="921"/>
      <c r="D66" s="356"/>
      <c r="E66" s="362" t="s">
        <v>489</v>
      </c>
      <c r="F66" s="264" t="s">
        <v>487</v>
      </c>
      <c r="G66" s="264" t="s">
        <v>156</v>
      </c>
    </row>
    <row r="67" spans="1:21" ht="18.649999999999999" customHeight="1">
      <c r="A67" s="835"/>
      <c r="B67" s="897" t="s">
        <v>126</v>
      </c>
      <c r="C67" s="897"/>
      <c r="D67" s="363"/>
      <c r="E67" s="307"/>
      <c r="F67" s="307"/>
      <c r="G67" s="307"/>
    </row>
    <row r="68" spans="1:21" ht="18.649999999999999" customHeight="1">
      <c r="A68" s="835"/>
      <c r="B68" s="347" t="s">
        <v>127</v>
      </c>
      <c r="C68" s="348">
        <v>1200</v>
      </c>
      <c r="D68" s="364"/>
      <c r="E68" s="374">
        <v>654.07000000000005</v>
      </c>
      <c r="F68" s="283">
        <v>225</v>
      </c>
      <c r="G68" s="368">
        <f t="shared" ref="G68:G70" si="17">ROUND(F68/E68,4)</f>
        <v>0.34399999999999997</v>
      </c>
    </row>
    <row r="69" spans="1:21" ht="18.649999999999999" customHeight="1">
      <c r="A69" s="835"/>
      <c r="B69" s="347" t="s">
        <v>128</v>
      </c>
      <c r="C69" s="348">
        <v>2500</v>
      </c>
      <c r="D69" s="364"/>
      <c r="E69" s="289">
        <v>2500</v>
      </c>
      <c r="F69" s="283">
        <v>1068</v>
      </c>
      <c r="G69" s="368">
        <f t="shared" si="17"/>
        <v>0.42720000000000002</v>
      </c>
    </row>
    <row r="70" spans="1:21" ht="18.649999999999999" customHeight="1">
      <c r="A70" s="835"/>
      <c r="B70" s="312" t="s">
        <v>130</v>
      </c>
      <c r="C70" s="348">
        <v>300</v>
      </c>
      <c r="D70" s="364"/>
      <c r="E70" s="289">
        <v>300</v>
      </c>
      <c r="F70" s="283">
        <v>7.77</v>
      </c>
      <c r="G70" s="368">
        <f t="shared" si="17"/>
        <v>2.5899999999999999E-2</v>
      </c>
    </row>
    <row r="71" spans="1:21" ht="18.649999999999999" customHeight="1">
      <c r="A71" s="835"/>
      <c r="B71" s="897" t="s">
        <v>132</v>
      </c>
      <c r="C71" s="897"/>
      <c r="D71" s="363"/>
      <c r="E71" s="307"/>
      <c r="F71" s="307"/>
      <c r="G71" s="307"/>
    </row>
    <row r="72" spans="1:21" ht="31" customHeight="1">
      <c r="A72" s="835"/>
      <c r="B72" s="309" t="s">
        <v>133</v>
      </c>
      <c r="C72" s="350">
        <v>2700</v>
      </c>
      <c r="D72" s="375"/>
      <c r="E72" s="305">
        <v>2700</v>
      </c>
      <c r="F72" s="283">
        <v>273</v>
      </c>
      <c r="G72" s="368">
        <f t="shared" ref="G72:G74" si="18">ROUND(F72/E72,4)</f>
        <v>0.1011</v>
      </c>
    </row>
    <row r="73" spans="1:21" ht="18.649999999999999" customHeight="1">
      <c r="A73" s="835"/>
      <c r="B73" s="312" t="s">
        <v>134</v>
      </c>
      <c r="C73" s="350">
        <v>9000</v>
      </c>
      <c r="D73" s="375"/>
      <c r="E73" s="305">
        <v>9000</v>
      </c>
      <c r="F73" s="283">
        <v>532</v>
      </c>
      <c r="G73" s="368">
        <f t="shared" si="18"/>
        <v>5.91E-2</v>
      </c>
    </row>
    <row r="74" spans="1:21" ht="28" customHeight="1">
      <c r="A74" s="835"/>
      <c r="B74" s="312" t="s">
        <v>148</v>
      </c>
      <c r="C74" s="350">
        <v>2700</v>
      </c>
      <c r="D74" s="375"/>
      <c r="E74" s="305">
        <v>2700</v>
      </c>
      <c r="F74" s="283">
        <v>14</v>
      </c>
      <c r="G74" s="368">
        <f t="shared" si="18"/>
        <v>5.1999999999999998E-3</v>
      </c>
    </row>
    <row r="75" spans="1:21" ht="18" customHeight="1">
      <c r="A75" s="835"/>
      <c r="B75" s="337" t="s">
        <v>136</v>
      </c>
      <c r="C75" s="271"/>
      <c r="D75" s="363"/>
      <c r="E75" s="307"/>
      <c r="F75" s="307"/>
      <c r="G75" s="307"/>
    </row>
    <row r="76" spans="1:21" ht="33" customHeight="1">
      <c r="A76" s="835"/>
      <c r="B76" s="309" t="s">
        <v>316</v>
      </c>
      <c r="C76" s="350">
        <v>380</v>
      </c>
      <c r="D76" s="375"/>
      <c r="E76" s="305">
        <v>380</v>
      </c>
      <c r="F76" s="291">
        <v>84</v>
      </c>
      <c r="G76" s="381">
        <f t="shared" ref="G76:G77" si="19">ROUND((16/(188.76*E76))*F76,5)</f>
        <v>1.874E-2</v>
      </c>
    </row>
    <row r="77" spans="1:21" ht="32.5" customHeight="1">
      <c r="A77" s="835"/>
      <c r="B77" s="312" t="s">
        <v>317</v>
      </c>
      <c r="C77" s="350">
        <v>380</v>
      </c>
      <c r="D77" s="375"/>
      <c r="E77" s="305">
        <v>380</v>
      </c>
      <c r="F77" s="283">
        <v>84</v>
      </c>
      <c r="G77" s="381">
        <f t="shared" si="19"/>
        <v>1.874E-2</v>
      </c>
    </row>
    <row r="78" spans="1:21" ht="21" customHeight="1">
      <c r="A78" s="835"/>
      <c r="B78" s="907" t="s">
        <v>151</v>
      </c>
      <c r="C78" s="898"/>
      <c r="D78" s="316"/>
      <c r="E78" s="799" t="s">
        <v>151</v>
      </c>
      <c r="F78" s="799"/>
      <c r="G78" s="381">
        <f>SUM(G76:G77,G74,G73,G72,G70,G69,G68)</f>
        <v>0.99997999999999998</v>
      </c>
      <c r="H78" s="391"/>
      <c r="I78" s="913"/>
      <c r="J78" s="913"/>
      <c r="K78" s="404"/>
      <c r="M78" s="913"/>
      <c r="N78" s="913"/>
      <c r="O78" s="404"/>
      <c r="P78" s="189"/>
      <c r="Q78" s="913"/>
      <c r="R78" s="913"/>
      <c r="S78" s="404"/>
      <c r="T78" s="189"/>
      <c r="U78" s="189"/>
    </row>
    <row r="79" spans="1:21" ht="21.65" customHeight="1" thickBot="1">
      <c r="A79" s="836"/>
      <c r="B79" s="914" t="s">
        <v>149</v>
      </c>
      <c r="C79" s="915"/>
      <c r="D79" s="375"/>
      <c r="E79" s="916" t="s">
        <v>160</v>
      </c>
      <c r="F79" s="917"/>
      <c r="G79" s="401">
        <f>ROUND(G78,0)</f>
        <v>1</v>
      </c>
      <c r="H79" s="391"/>
      <c r="I79" s="906"/>
      <c r="J79" s="906"/>
      <c r="K79" s="328"/>
      <c r="M79" s="906"/>
      <c r="N79" s="906"/>
      <c r="O79" s="328"/>
      <c r="P79" s="189"/>
      <c r="Q79" s="906"/>
      <c r="R79" s="906"/>
      <c r="S79" s="328"/>
      <c r="T79" s="189"/>
      <c r="U79" s="189"/>
    </row>
    <row r="80" spans="1:21" ht="18.649999999999999" customHeight="1">
      <c r="A80" s="834" t="s">
        <v>146</v>
      </c>
      <c r="B80" s="919" t="s">
        <v>147</v>
      </c>
      <c r="C80" s="920" t="s">
        <v>488</v>
      </c>
      <c r="D80" s="389"/>
      <c r="E80" s="903" t="s">
        <v>146</v>
      </c>
      <c r="F80" s="904"/>
      <c r="G80" s="905"/>
    </row>
    <row r="81" spans="1:21" ht="35.5" customHeight="1">
      <c r="A81" s="835"/>
      <c r="B81" s="901"/>
      <c r="C81" s="921"/>
      <c r="D81" s="356"/>
      <c r="E81" s="403" t="s">
        <v>489</v>
      </c>
      <c r="F81" s="358" t="s">
        <v>487</v>
      </c>
      <c r="G81" s="393" t="s">
        <v>156</v>
      </c>
    </row>
    <row r="82" spans="1:21" ht="18.649999999999999" customHeight="1">
      <c r="A82" s="835"/>
      <c r="B82" s="897" t="s">
        <v>126</v>
      </c>
      <c r="C82" s="897"/>
      <c r="D82" s="363"/>
      <c r="E82" s="270"/>
      <c r="F82" s="271"/>
      <c r="G82" s="395"/>
    </row>
    <row r="83" spans="1:21" ht="18.649999999999999" customHeight="1">
      <c r="A83" s="835"/>
      <c r="B83" s="347" t="s">
        <v>127</v>
      </c>
      <c r="C83" s="348">
        <v>1200</v>
      </c>
      <c r="D83" s="364"/>
      <c r="E83" s="365">
        <v>1382.91</v>
      </c>
      <c r="F83" s="283">
        <v>4937</v>
      </c>
      <c r="G83" s="368">
        <f t="shared" ref="G83:G86" si="20">ROUND(F83/E83,4)</f>
        <v>3.57</v>
      </c>
    </row>
    <row r="84" spans="1:21" ht="18.649999999999999" customHeight="1">
      <c r="A84" s="835"/>
      <c r="B84" s="347" t="s">
        <v>128</v>
      </c>
      <c r="C84" s="348">
        <v>2500</v>
      </c>
      <c r="D84" s="364"/>
      <c r="E84" s="348">
        <v>2500</v>
      </c>
      <c r="F84" s="283">
        <v>145</v>
      </c>
      <c r="G84" s="368">
        <f t="shared" si="20"/>
        <v>5.8000000000000003E-2</v>
      </c>
    </row>
    <row r="85" spans="1:21" ht="31" customHeight="1">
      <c r="A85" s="835"/>
      <c r="B85" s="347" t="s">
        <v>129</v>
      </c>
      <c r="C85" s="348">
        <v>1500</v>
      </c>
      <c r="D85" s="364"/>
      <c r="E85" s="348">
        <v>1500</v>
      </c>
      <c r="F85" s="283">
        <v>317</v>
      </c>
      <c r="G85" s="368">
        <f t="shared" si="20"/>
        <v>0.21129999999999999</v>
      </c>
    </row>
    <row r="86" spans="1:21" ht="18.649999999999999" customHeight="1">
      <c r="A86" s="835"/>
      <c r="B86" s="312" t="s">
        <v>130</v>
      </c>
      <c r="C86" s="348">
        <v>300</v>
      </c>
      <c r="D86" s="364"/>
      <c r="E86" s="407">
        <v>300</v>
      </c>
      <c r="F86" s="283">
        <v>300</v>
      </c>
      <c r="G86" s="368">
        <f t="shared" si="20"/>
        <v>1</v>
      </c>
    </row>
    <row r="87" spans="1:21" ht="18.649999999999999" customHeight="1">
      <c r="A87" s="835"/>
      <c r="B87" s="897" t="s">
        <v>132</v>
      </c>
      <c r="C87" s="897"/>
      <c r="D87" s="363"/>
      <c r="E87" s="270"/>
      <c r="F87" s="271"/>
      <c r="G87" s="395"/>
    </row>
    <row r="88" spans="1:21" ht="31" customHeight="1">
      <c r="A88" s="835"/>
      <c r="B88" s="309" t="s">
        <v>133</v>
      </c>
      <c r="C88" s="350">
        <v>2700</v>
      </c>
      <c r="D88" s="375"/>
      <c r="E88" s="350">
        <v>2700</v>
      </c>
      <c r="F88" s="283">
        <v>103</v>
      </c>
      <c r="G88" s="368">
        <f t="shared" ref="G88" si="21">ROUND(F88/E88,4)</f>
        <v>3.8100000000000002E-2</v>
      </c>
    </row>
    <row r="89" spans="1:21" ht="18.5" customHeight="1">
      <c r="A89" s="835"/>
      <c r="B89" s="408" t="s">
        <v>136</v>
      </c>
      <c r="C89" s="271"/>
      <c r="D89" s="363"/>
      <c r="E89" s="270"/>
      <c r="F89" s="271"/>
      <c r="G89" s="395"/>
    </row>
    <row r="90" spans="1:21" ht="31.5" customHeight="1">
      <c r="A90" s="835"/>
      <c r="B90" s="312" t="s">
        <v>317</v>
      </c>
      <c r="C90" s="350">
        <v>380</v>
      </c>
      <c r="D90" s="375"/>
      <c r="E90" s="350">
        <v>380</v>
      </c>
      <c r="F90" s="283">
        <v>577</v>
      </c>
      <c r="G90" s="379">
        <f t="shared" ref="G90" si="22">ROUND((16/(188.76*E90))*F90,5)</f>
        <v>0.12870999999999999</v>
      </c>
    </row>
    <row r="91" spans="1:21" ht="21" customHeight="1">
      <c r="A91" s="835"/>
      <c r="B91" s="907" t="s">
        <v>151</v>
      </c>
      <c r="C91" s="907"/>
      <c r="D91" s="316"/>
      <c r="E91" s="912" t="s">
        <v>151</v>
      </c>
      <c r="F91" s="799"/>
      <c r="G91" s="409">
        <f>SUM(G90:G90,G88,G86,G85,G84,G83)</f>
        <v>5.0061099999999996</v>
      </c>
      <c r="H91" s="391"/>
      <c r="I91" s="913"/>
      <c r="J91" s="913"/>
      <c r="K91" s="404"/>
      <c r="M91" s="913"/>
      <c r="N91" s="913"/>
      <c r="O91" s="404"/>
      <c r="P91" s="189"/>
      <c r="Q91" s="913"/>
      <c r="R91" s="913"/>
      <c r="S91" s="404"/>
      <c r="T91" s="189"/>
      <c r="U91" s="189"/>
    </row>
    <row r="92" spans="1:21" ht="21.65" customHeight="1">
      <c r="A92" s="835"/>
      <c r="B92" s="909" t="s">
        <v>149</v>
      </c>
      <c r="C92" s="909"/>
      <c r="D92" s="375"/>
      <c r="E92" s="910" t="s">
        <v>161</v>
      </c>
      <c r="F92" s="911"/>
      <c r="G92" s="401">
        <f>ROUND(G91,0)</f>
        <v>5</v>
      </c>
      <c r="H92" s="391"/>
      <c r="I92" s="906"/>
      <c r="J92" s="906"/>
      <c r="K92" s="328"/>
      <c r="M92" s="906"/>
      <c r="N92" s="906"/>
      <c r="O92" s="328"/>
      <c r="P92" s="189"/>
      <c r="Q92" s="906"/>
      <c r="R92" s="906"/>
      <c r="S92" s="328"/>
      <c r="T92" s="189"/>
      <c r="U92" s="189"/>
    </row>
    <row r="93" spans="1:21" ht="6.65" customHeight="1">
      <c r="A93" s="836"/>
      <c r="B93" s="384"/>
      <c r="C93" s="377"/>
      <c r="D93" s="375"/>
      <c r="E93" s="377"/>
      <c r="F93" s="385"/>
      <c r="G93" s="402"/>
      <c r="H93" s="391"/>
      <c r="I93" s="325"/>
      <c r="J93" s="404"/>
      <c r="K93" s="404"/>
      <c r="M93" s="325"/>
      <c r="N93" s="404"/>
      <c r="O93" s="404"/>
      <c r="P93" s="189"/>
      <c r="Q93" s="325"/>
      <c r="R93" s="404"/>
      <c r="S93" s="404"/>
      <c r="T93" s="189"/>
      <c r="U93" s="189"/>
    </row>
  </sheetData>
  <mergeCells count="107">
    <mergeCell ref="A1:S1"/>
    <mergeCell ref="A2:S2"/>
    <mergeCell ref="J4:S4"/>
    <mergeCell ref="A53:A64"/>
    <mergeCell ref="B8:B9"/>
    <mergeCell ref="Q8:S8"/>
    <mergeCell ref="A8:A23"/>
    <mergeCell ref="Q21:R21"/>
    <mergeCell ref="Q22:R22"/>
    <mergeCell ref="I22:J22"/>
    <mergeCell ref="M8:O8"/>
    <mergeCell ref="M21:N21"/>
    <mergeCell ref="M22:N22"/>
    <mergeCell ref="B14:C14"/>
    <mergeCell ref="C41:C42"/>
    <mergeCell ref="C53:C54"/>
    <mergeCell ref="Q24:S24"/>
    <mergeCell ref="A4:I4"/>
    <mergeCell ref="C8:C9"/>
    <mergeCell ref="I8:K8"/>
    <mergeCell ref="B21:C21"/>
    <mergeCell ref="E8:G8"/>
    <mergeCell ref="B22:C22"/>
    <mergeCell ref="B10:C10"/>
    <mergeCell ref="A6:S6"/>
    <mergeCell ref="E22:F22"/>
    <mergeCell ref="E21:F21"/>
    <mergeCell ref="I21:J21"/>
    <mergeCell ref="I51:J51"/>
    <mergeCell ref="E41:G41"/>
    <mergeCell ref="B43:C43"/>
    <mergeCell ref="M51:N51"/>
    <mergeCell ref="A24:A40"/>
    <mergeCell ref="A41:A52"/>
    <mergeCell ref="B24:B25"/>
    <mergeCell ref="C24:C25"/>
    <mergeCell ref="B41:B42"/>
    <mergeCell ref="B26:C26"/>
    <mergeCell ref="B31:C31"/>
    <mergeCell ref="B38:C38"/>
    <mergeCell ref="M38:N38"/>
    <mergeCell ref="Q38:R38"/>
    <mergeCell ref="B39:C39"/>
    <mergeCell ref="E39:F39"/>
    <mergeCell ref="I39:J39"/>
    <mergeCell ref="M39:N39"/>
    <mergeCell ref="Q39:R39"/>
    <mergeCell ref="E38:F38"/>
    <mergeCell ref="I24:K24"/>
    <mergeCell ref="M24:O24"/>
    <mergeCell ref="I38:J38"/>
    <mergeCell ref="E24:G24"/>
    <mergeCell ref="B52:C52"/>
    <mergeCell ref="B58:C58"/>
    <mergeCell ref="B55:C55"/>
    <mergeCell ref="C65:C66"/>
    <mergeCell ref="Q51:R51"/>
    <mergeCell ref="E52:F52"/>
    <mergeCell ref="I52:J52"/>
    <mergeCell ref="M52:N52"/>
    <mergeCell ref="Q52:R52"/>
    <mergeCell ref="B53:B54"/>
    <mergeCell ref="B65:B66"/>
    <mergeCell ref="B51:C51"/>
    <mergeCell ref="E51:F51"/>
    <mergeCell ref="I62:J62"/>
    <mergeCell ref="M62:N62"/>
    <mergeCell ref="Q62:R62"/>
    <mergeCell ref="B63:C63"/>
    <mergeCell ref="E63:F63"/>
    <mergeCell ref="I63:J63"/>
    <mergeCell ref="M63:N63"/>
    <mergeCell ref="Q63:R63"/>
    <mergeCell ref="E53:G53"/>
    <mergeCell ref="B62:C62"/>
    <mergeCell ref="E62:F62"/>
    <mergeCell ref="I91:J91"/>
    <mergeCell ref="M91:N91"/>
    <mergeCell ref="B80:B81"/>
    <mergeCell ref="C80:C81"/>
    <mergeCell ref="Q91:R91"/>
    <mergeCell ref="B78:C78"/>
    <mergeCell ref="E64:G64"/>
    <mergeCell ref="I92:J92"/>
    <mergeCell ref="M92:N92"/>
    <mergeCell ref="Q92:R92"/>
    <mergeCell ref="B91:C91"/>
    <mergeCell ref="E65:G65"/>
    <mergeCell ref="A80:A93"/>
    <mergeCell ref="B92:C92"/>
    <mergeCell ref="E92:F92"/>
    <mergeCell ref="A65:A79"/>
    <mergeCell ref="B82:C82"/>
    <mergeCell ref="B87:C87"/>
    <mergeCell ref="B71:C71"/>
    <mergeCell ref="E80:G80"/>
    <mergeCell ref="E91:F91"/>
    <mergeCell ref="B67:C67"/>
    <mergeCell ref="I78:J78"/>
    <mergeCell ref="M78:N78"/>
    <mergeCell ref="Q78:R78"/>
    <mergeCell ref="B79:C79"/>
    <mergeCell ref="E79:F79"/>
    <mergeCell ref="I79:J79"/>
    <mergeCell ref="M79:N79"/>
    <mergeCell ref="Q79:R79"/>
    <mergeCell ref="E78:F78"/>
  </mergeCells>
  <pageMargins left="0.511811024" right="0.511811024" top="0.78740157499999996" bottom="0.78740157499999996" header="0.31496062000000002" footer="0.31496062000000002"/>
  <pageSetup paperSize="9" scale="50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E147"/>
  <sheetViews>
    <sheetView showGridLines="0" topLeftCell="A16" zoomScale="85" zoomScaleNormal="85" workbookViewId="0">
      <selection activeCell="G25" sqref="G25:I25"/>
    </sheetView>
  </sheetViews>
  <sheetFormatPr defaultRowHeight="14.5"/>
  <cols>
    <col min="1" max="1" width="7.54296875" style="180" customWidth="1"/>
    <col min="2" max="2" width="14.54296875" style="180" customWidth="1"/>
    <col min="3" max="3" width="16.1796875" style="180" customWidth="1"/>
    <col min="4" max="4" width="15.90625" style="180" customWidth="1"/>
    <col min="5" max="5" width="14.81640625" style="180" customWidth="1"/>
    <col min="6" max="6" width="15.81640625" style="180" customWidth="1"/>
    <col min="7" max="7" width="22.81640625" style="180" customWidth="1"/>
    <col min="8" max="8" width="21.453125" style="180" customWidth="1"/>
    <col min="9" max="9" width="20.7265625" style="180" customWidth="1"/>
    <col min="10" max="16384" width="8.7265625" style="180"/>
  </cols>
  <sheetData>
    <row r="1" spans="1:9" s="179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</row>
    <row r="2" spans="1:9" s="179" customFormat="1" ht="32.15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</row>
    <row r="3" spans="1:9" s="179" customFormat="1" ht="6" customHeight="1">
      <c r="A3" s="410"/>
      <c r="B3" s="410"/>
      <c r="C3" s="410"/>
      <c r="D3" s="410"/>
      <c r="E3" s="410"/>
      <c r="F3" s="410"/>
      <c r="G3" s="410"/>
      <c r="H3" s="411"/>
      <c r="I3" s="410"/>
    </row>
    <row r="4" spans="1:9" s="179" customFormat="1" ht="18" customHeight="1">
      <c r="A4" s="412" t="s">
        <v>1</v>
      </c>
      <c r="B4" s="384"/>
      <c r="C4" s="384"/>
      <c r="D4" s="384"/>
      <c r="E4" s="384"/>
      <c r="F4" s="384"/>
      <c r="G4" s="384"/>
      <c r="H4" s="384"/>
      <c r="I4" s="201" t="str">
        <f>CCT!J4</f>
        <v>10707.720194-2025-26</v>
      </c>
    </row>
    <row r="5" spans="1:9" s="179" customFormat="1" ht="9" customHeight="1">
      <c r="A5" s="742"/>
      <c r="B5" s="742"/>
      <c r="C5" s="742"/>
      <c r="D5" s="742"/>
      <c r="E5" s="742"/>
      <c r="F5" s="742"/>
      <c r="G5" s="742"/>
      <c r="H5" s="742"/>
      <c r="I5" s="742"/>
    </row>
    <row r="6" spans="1:9" s="179" customFormat="1" ht="18" customHeight="1">
      <c r="A6" s="731" t="s">
        <v>340</v>
      </c>
      <c r="B6" s="731"/>
      <c r="C6" s="731"/>
      <c r="D6" s="731"/>
      <c r="E6" s="731"/>
      <c r="F6" s="731"/>
      <c r="G6" s="731"/>
      <c r="H6" s="731"/>
      <c r="I6" s="731"/>
    </row>
    <row r="7" spans="1:9" ht="11.15" customHeight="1">
      <c r="A7" s="970"/>
      <c r="B7" s="971"/>
      <c r="C7" s="971"/>
      <c r="D7" s="971"/>
      <c r="E7" s="971"/>
      <c r="F7" s="971"/>
      <c r="G7" s="971"/>
      <c r="H7" s="971"/>
      <c r="I7" s="971"/>
    </row>
    <row r="8" spans="1:9" ht="21.65" customHeight="1">
      <c r="A8" s="769" t="s">
        <v>3</v>
      </c>
      <c r="B8" s="769"/>
      <c r="C8" s="769"/>
      <c r="D8" s="769"/>
      <c r="E8" s="769"/>
      <c r="F8" s="769"/>
      <c r="G8" s="769"/>
      <c r="H8" s="769"/>
      <c r="I8" s="769"/>
    </row>
    <row r="9" spans="1:9" ht="30" customHeight="1">
      <c r="A9" s="735" t="s">
        <v>55</v>
      </c>
      <c r="B9" s="735"/>
      <c r="C9" s="735"/>
      <c r="D9" s="735"/>
      <c r="E9" s="735"/>
      <c r="F9" s="735"/>
      <c r="G9" s="735"/>
      <c r="H9" s="735"/>
      <c r="I9" s="735"/>
    </row>
    <row r="10" spans="1:9" ht="44.5" customHeight="1">
      <c r="A10" s="191" t="s">
        <v>4</v>
      </c>
      <c r="B10" s="975" t="s">
        <v>115</v>
      </c>
      <c r="C10" s="976"/>
      <c r="D10" s="976"/>
      <c r="E10" s="976"/>
      <c r="F10" s="977"/>
      <c r="G10" s="413" t="s">
        <v>505</v>
      </c>
      <c r="H10" s="413" t="s">
        <v>506</v>
      </c>
      <c r="I10" s="413" t="s">
        <v>490</v>
      </c>
    </row>
    <row r="11" spans="1:9" ht="18.5" customHeight="1">
      <c r="A11" s="676" t="s">
        <v>5</v>
      </c>
      <c r="B11" s="962" t="s">
        <v>116</v>
      </c>
      <c r="C11" s="962"/>
      <c r="D11" s="962"/>
      <c r="E11" s="962"/>
      <c r="F11" s="962"/>
      <c r="G11" s="415" t="str">
        <f>CCT!E10</f>
        <v>RJ001061/2025</v>
      </c>
      <c r="H11" s="415" t="str">
        <f>CCT!E10</f>
        <v>RJ001061/2025</v>
      </c>
      <c r="I11" s="415" t="str">
        <f>CCT!E10</f>
        <v>RJ001061/2025</v>
      </c>
    </row>
    <row r="12" spans="1:9" ht="18.649999999999999" customHeight="1">
      <c r="A12" s="676" t="s">
        <v>507</v>
      </c>
      <c r="B12" s="974" t="s">
        <v>117</v>
      </c>
      <c r="C12" s="974"/>
      <c r="D12" s="974"/>
      <c r="E12" s="974"/>
      <c r="F12" s="974"/>
      <c r="G12" s="416">
        <f>CCT!I10</f>
        <v>2025</v>
      </c>
      <c r="H12" s="416">
        <f>CCT!I10</f>
        <v>2025</v>
      </c>
      <c r="I12" s="416">
        <f>CCT!I10</f>
        <v>2025</v>
      </c>
    </row>
    <row r="13" spans="1:9" ht="18.649999999999999" customHeight="1">
      <c r="A13" s="676" t="s">
        <v>7</v>
      </c>
      <c r="B13" s="962" t="s">
        <v>118</v>
      </c>
      <c r="C13" s="962"/>
      <c r="D13" s="962"/>
      <c r="E13" s="962"/>
      <c r="F13" s="962"/>
      <c r="G13" s="417" t="str">
        <f>CCT!A10</f>
        <v>Servente COM Adicional</v>
      </c>
      <c r="H13" s="417" t="str">
        <f>CCT!A10</f>
        <v>Servente COM Adicional</v>
      </c>
      <c r="I13" s="417" t="str">
        <f>CCT!A10</f>
        <v>Servente COM Adicional</v>
      </c>
    </row>
    <row r="14" spans="1:9" ht="18.649999999999999" customHeight="1">
      <c r="A14" s="676" t="s">
        <v>9</v>
      </c>
      <c r="B14" s="962" t="s">
        <v>10</v>
      </c>
      <c r="C14" s="962"/>
      <c r="D14" s="962"/>
      <c r="E14" s="962"/>
      <c r="F14" s="962"/>
      <c r="G14" s="201" t="s">
        <v>11</v>
      </c>
      <c r="H14" s="201" t="s">
        <v>11</v>
      </c>
      <c r="I14" s="201" t="s">
        <v>11</v>
      </c>
    </row>
    <row r="15" spans="1:9" ht="18.649999999999999" customHeight="1">
      <c r="A15" s="676" t="s">
        <v>12</v>
      </c>
      <c r="B15" s="962" t="s">
        <v>119</v>
      </c>
      <c r="C15" s="962"/>
      <c r="D15" s="962"/>
      <c r="E15" s="962"/>
      <c r="F15" s="962"/>
      <c r="G15" s="418" t="str">
        <f>CCT!J10</f>
        <v>1° de março</v>
      </c>
      <c r="H15" s="418" t="str">
        <f>CCT!J10</f>
        <v>1° de março</v>
      </c>
      <c r="I15" s="415" t="str">
        <f>CCT!J10</f>
        <v>1° de março</v>
      </c>
    </row>
    <row r="16" spans="1:9" ht="18.649999999999999" customHeight="1">
      <c r="A16" s="676" t="s">
        <v>13</v>
      </c>
      <c r="B16" s="962" t="s">
        <v>120</v>
      </c>
      <c r="C16" s="962"/>
      <c r="D16" s="962"/>
      <c r="E16" s="962"/>
      <c r="F16" s="962"/>
      <c r="G16" s="419">
        <f>CCT!K10</f>
        <v>1730.75</v>
      </c>
      <c r="H16" s="419">
        <f>CCT!K10</f>
        <v>1730.75</v>
      </c>
      <c r="I16" s="419">
        <f>CCT!K10</f>
        <v>1730.75</v>
      </c>
    </row>
    <row r="17" spans="1:13" ht="18.649999999999999" customHeight="1">
      <c r="A17" s="201" t="s">
        <v>24</v>
      </c>
      <c r="B17" s="962" t="s">
        <v>122</v>
      </c>
      <c r="C17" s="962"/>
      <c r="D17" s="962"/>
      <c r="E17" s="962"/>
      <c r="F17" s="962"/>
      <c r="G17" s="415" t="s">
        <v>124</v>
      </c>
      <c r="H17" s="415" t="s">
        <v>124</v>
      </c>
      <c r="I17" s="415" t="s">
        <v>124</v>
      </c>
    </row>
    <row r="18" spans="1:13" ht="7.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</row>
    <row r="19" spans="1:13" ht="18.649999999999999" customHeight="1">
      <c r="A19" s="1047" t="s">
        <v>323</v>
      </c>
      <c r="B19" s="1047"/>
      <c r="C19" s="1047"/>
      <c r="D19" s="1047"/>
      <c r="E19" s="856">
        <f>'Benefícios e Outros Dados'!I8</f>
        <v>60</v>
      </c>
      <c r="F19" s="856"/>
      <c r="G19" s="420"/>
      <c r="H19" s="420"/>
      <c r="I19" s="420"/>
      <c r="J19" s="420"/>
      <c r="K19" s="420"/>
      <c r="L19" s="420"/>
      <c r="M19" s="420"/>
    </row>
    <row r="20" spans="1:13" ht="7.5" customHeight="1">
      <c r="A20" s="421"/>
      <c r="B20" s="421"/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</row>
    <row r="21" spans="1:13" ht="6.75" customHeight="1">
      <c r="A21" s="978"/>
      <c r="B21" s="978"/>
      <c r="C21" s="978"/>
      <c r="D21" s="978"/>
      <c r="E21" s="978"/>
      <c r="F21" s="978"/>
      <c r="G21" s="978"/>
      <c r="H21" s="978"/>
      <c r="I21" s="978"/>
    </row>
    <row r="22" spans="1:13" ht="21.65" customHeight="1">
      <c r="A22" s="769" t="s">
        <v>68</v>
      </c>
      <c r="B22" s="769"/>
      <c r="C22" s="769"/>
      <c r="D22" s="769"/>
      <c r="E22" s="769"/>
      <c r="F22" s="769"/>
      <c r="G22" s="769"/>
      <c r="H22" s="769"/>
      <c r="I22" s="769"/>
    </row>
    <row r="23" spans="1:13" ht="45.65" customHeight="1">
      <c r="A23" s="985"/>
      <c r="B23" s="986"/>
      <c r="C23" s="986"/>
      <c r="D23" s="986"/>
      <c r="E23" s="986"/>
      <c r="F23" s="963" t="s">
        <v>69</v>
      </c>
      <c r="G23" s="413" t="s">
        <v>505</v>
      </c>
      <c r="H23" s="413" t="s">
        <v>506</v>
      </c>
      <c r="I23" s="413" t="s">
        <v>490</v>
      </c>
    </row>
    <row r="24" spans="1:13" ht="19.5" customHeight="1">
      <c r="A24" s="987"/>
      <c r="B24" s="988"/>
      <c r="C24" s="988"/>
      <c r="D24" s="988"/>
      <c r="E24" s="988"/>
      <c r="F24" s="964"/>
      <c r="G24" s="677" t="s">
        <v>14</v>
      </c>
      <c r="H24" s="677" t="s">
        <v>14</v>
      </c>
      <c r="I24" s="677" t="s">
        <v>14</v>
      </c>
    </row>
    <row r="25" spans="1:13" ht="18" customHeight="1">
      <c r="A25" s="371" t="s">
        <v>4</v>
      </c>
      <c r="B25" s="737" t="s">
        <v>15</v>
      </c>
      <c r="C25" s="738"/>
      <c r="D25" s="738"/>
      <c r="E25" s="738"/>
      <c r="F25" s="370"/>
      <c r="G25" s="529">
        <f>G16*30/44</f>
        <v>1180.06</v>
      </c>
      <c r="H25" s="472">
        <f>H16</f>
        <v>1730.75</v>
      </c>
      <c r="I25" s="472">
        <f>I16</f>
        <v>1730.75</v>
      </c>
    </row>
    <row r="26" spans="1:13" ht="31.5" customHeight="1">
      <c r="A26" s="201" t="s">
        <v>5</v>
      </c>
      <c r="B26" s="979" t="s">
        <v>491</v>
      </c>
      <c r="C26" s="980"/>
      <c r="D26" s="980"/>
      <c r="E26" s="981"/>
      <c r="F26" s="422">
        <v>0.4</v>
      </c>
      <c r="G26" s="423">
        <f>ROUND($F$26*G16,2)</f>
        <v>692.3</v>
      </c>
      <c r="H26" s="423">
        <f t="shared" ref="H26:I26" si="0">ROUND($F$26*H16,2)</f>
        <v>692.3</v>
      </c>
      <c r="I26" s="423">
        <f t="shared" si="0"/>
        <v>692.3</v>
      </c>
      <c r="J26" s="961"/>
      <c r="K26" s="961"/>
    </row>
    <row r="27" spans="1:13" ht="18" customHeight="1">
      <c r="A27" s="201" t="s">
        <v>6</v>
      </c>
      <c r="B27" s="982" t="s">
        <v>125</v>
      </c>
      <c r="C27" s="983"/>
      <c r="D27" s="983"/>
      <c r="E27" s="984"/>
      <c r="F27" s="424">
        <v>0.15</v>
      </c>
      <c r="G27" s="423"/>
      <c r="H27" s="423"/>
      <c r="I27" s="423">
        <f>ROUND(F27*I25,2)</f>
        <v>259.61</v>
      </c>
    </row>
    <row r="28" spans="1:13" ht="18" customHeight="1">
      <c r="A28" s="371" t="s">
        <v>7</v>
      </c>
      <c r="B28" s="1002" t="s">
        <v>70</v>
      </c>
      <c r="C28" s="1003"/>
      <c r="D28" s="1003"/>
      <c r="E28" s="1003"/>
      <c r="F28" s="708"/>
      <c r="G28" s="709"/>
      <c r="H28" s="710"/>
      <c r="I28" s="710"/>
    </row>
    <row r="29" spans="1:13" ht="18" customHeight="1">
      <c r="A29" s="371" t="s">
        <v>9</v>
      </c>
      <c r="B29" s="972" t="s">
        <v>70</v>
      </c>
      <c r="C29" s="973"/>
      <c r="D29" s="973"/>
      <c r="E29" s="973"/>
      <c r="F29" s="711"/>
      <c r="G29" s="709"/>
      <c r="H29" s="710"/>
      <c r="I29" s="710"/>
    </row>
    <row r="30" spans="1:13" ht="22" customHeight="1">
      <c r="A30" s="989" t="s">
        <v>71</v>
      </c>
      <c r="B30" s="990"/>
      <c r="C30" s="990"/>
      <c r="D30" s="990"/>
      <c r="E30" s="990"/>
      <c r="F30" s="991"/>
      <c r="G30" s="425">
        <f>ROUND(SUM(G25:G29),2)</f>
        <v>1872.36</v>
      </c>
      <c r="H30" s="425">
        <f t="shared" ref="H30" si="1">ROUND(SUM(H25:H29),2)</f>
        <v>2423.0500000000002</v>
      </c>
      <c r="I30" s="425">
        <f t="shared" ref="I30" si="2">ROUND(SUM(I25:I29),2)</f>
        <v>2682.66</v>
      </c>
    </row>
    <row r="31" spans="1:13" ht="7.5" customHeight="1">
      <c r="A31" s="426"/>
      <c r="B31" s="427"/>
      <c r="C31" s="427"/>
      <c r="D31" s="427"/>
      <c r="E31" s="427"/>
      <c r="F31" s="427"/>
      <c r="G31" s="427"/>
      <c r="H31" s="428"/>
      <c r="I31" s="429"/>
    </row>
    <row r="32" spans="1:13" s="430" customFormat="1" ht="21.65" customHeight="1">
      <c r="A32" s="965" t="s">
        <v>72</v>
      </c>
      <c r="B32" s="966"/>
      <c r="C32" s="966"/>
      <c r="D32" s="966"/>
      <c r="E32" s="966"/>
      <c r="F32" s="966"/>
      <c r="G32" s="966"/>
      <c r="H32" s="966"/>
      <c r="I32" s="967"/>
    </row>
    <row r="33" spans="1:1019" s="430" customFormat="1" ht="42.65" customHeight="1">
      <c r="A33" s="431"/>
      <c r="B33" s="432"/>
      <c r="C33" s="432"/>
      <c r="D33" s="432"/>
      <c r="E33" s="432"/>
      <c r="F33" s="433"/>
      <c r="G33" s="413" t="s">
        <v>505</v>
      </c>
      <c r="H33" s="413" t="s">
        <v>506</v>
      </c>
      <c r="I33" s="413" t="s">
        <v>490</v>
      </c>
    </row>
    <row r="34" spans="1:1019" s="430" customFormat="1" ht="19.5" customHeight="1">
      <c r="A34" s="968" t="s">
        <v>73</v>
      </c>
      <c r="B34" s="968"/>
      <c r="C34" s="968"/>
      <c r="D34" s="968"/>
      <c r="E34" s="968"/>
      <c r="F34" s="969"/>
      <c r="G34" s="969"/>
      <c r="H34" s="969"/>
      <c r="I34" s="969"/>
    </row>
    <row r="35" spans="1:1019" s="437" customFormat="1" ht="19.5" customHeight="1">
      <c r="A35" s="434"/>
      <c r="B35" s="435"/>
      <c r="C35" s="435"/>
      <c r="D35" s="435"/>
      <c r="E35" s="436"/>
      <c r="F35" s="678" t="s">
        <v>16</v>
      </c>
      <c r="G35" s="677" t="s">
        <v>14</v>
      </c>
      <c r="H35" s="679" t="s">
        <v>14</v>
      </c>
      <c r="I35" s="677" t="s">
        <v>14</v>
      </c>
      <c r="AMD35" s="180"/>
      <c r="AME35" s="180"/>
    </row>
    <row r="36" spans="1:1019" ht="19.5" customHeight="1">
      <c r="A36" s="438" t="s">
        <v>4</v>
      </c>
      <c r="B36" s="439" t="s">
        <v>74</v>
      </c>
      <c r="C36" s="440"/>
      <c r="D36" s="440"/>
      <c r="E36" s="441"/>
      <c r="F36" s="204">
        <v>8.3299999999999999E-2</v>
      </c>
      <c r="G36" s="442">
        <f>ROUND($F$36*G30,2)</f>
        <v>155.97</v>
      </c>
      <c r="H36" s="442">
        <f t="shared" ref="H36" si="3">ROUND($F$36*H30,2)</f>
        <v>201.84</v>
      </c>
      <c r="I36" s="442">
        <f t="shared" ref="I36" si="4">ROUND($F$36*I30,2)</f>
        <v>223.47</v>
      </c>
    </row>
    <row r="37" spans="1:1019" ht="19.5" customHeight="1">
      <c r="A37" s="371" t="s">
        <v>5</v>
      </c>
      <c r="B37" s="412" t="s">
        <v>75</v>
      </c>
      <c r="C37" s="384"/>
      <c r="D37" s="384"/>
      <c r="E37" s="370"/>
      <c r="F37" s="443">
        <v>3.0249999999999999E-2</v>
      </c>
      <c r="G37" s="442">
        <f>ROUND($F$37*G30,2)</f>
        <v>56.64</v>
      </c>
      <c r="H37" s="442">
        <f t="shared" ref="H37" si="5">ROUND($F$37*H30,2)</f>
        <v>73.3</v>
      </c>
      <c r="I37" s="442">
        <f t="shared" ref="I37" si="6">ROUND($F$37*I30,2)</f>
        <v>81.150000000000006</v>
      </c>
    </row>
    <row r="38" spans="1:1019" ht="19.5" customHeight="1">
      <c r="A38" s="999" t="s">
        <v>76</v>
      </c>
      <c r="B38" s="1000"/>
      <c r="C38" s="1000"/>
      <c r="D38" s="1000"/>
      <c r="E38" s="1001"/>
      <c r="F38" s="444">
        <f>SUM(F36:F37)</f>
        <v>0.11360000000000001</v>
      </c>
      <c r="G38" s="445">
        <f>ROUND(SUM(G36:G37),2)</f>
        <v>212.61</v>
      </c>
      <c r="H38" s="445">
        <f t="shared" ref="H38" si="7">ROUND(SUM(H36:H37),2)</f>
        <v>275.14</v>
      </c>
      <c r="I38" s="445">
        <f t="shared" ref="I38" si="8">ROUND(SUM(I36:I37),2)</f>
        <v>304.62</v>
      </c>
    </row>
    <row r="39" spans="1:1019" ht="6.75" customHeight="1">
      <c r="A39" s="446"/>
      <c r="B39" s="447"/>
      <c r="C39" s="447"/>
      <c r="D39" s="447"/>
      <c r="E39" s="447"/>
      <c r="F39" s="447"/>
      <c r="G39" s="447"/>
      <c r="H39" s="448"/>
      <c r="I39" s="447"/>
    </row>
    <row r="40" spans="1:1019" ht="19.5" customHeight="1">
      <c r="A40" s="969" t="s">
        <v>77</v>
      </c>
      <c r="B40" s="969"/>
      <c r="C40" s="969"/>
      <c r="D40" s="969"/>
      <c r="E40" s="969"/>
      <c r="F40" s="969"/>
      <c r="G40" s="969"/>
      <c r="H40" s="969"/>
      <c r="I40" s="969"/>
    </row>
    <row r="41" spans="1:1019" s="437" customFormat="1" ht="19.5" customHeight="1">
      <c r="A41" s="434"/>
      <c r="B41" s="449"/>
      <c r="C41" s="449"/>
      <c r="D41" s="449"/>
      <c r="E41" s="450"/>
      <c r="F41" s="678" t="s">
        <v>16</v>
      </c>
      <c r="G41" s="677" t="s">
        <v>14</v>
      </c>
      <c r="H41" s="679" t="s">
        <v>14</v>
      </c>
      <c r="I41" s="677" t="s">
        <v>14</v>
      </c>
      <c r="AMD41" s="180"/>
      <c r="AME41" s="180"/>
    </row>
    <row r="42" spans="1:1019" ht="19.5" customHeight="1">
      <c r="A42" s="438" t="s">
        <v>4</v>
      </c>
      <c r="B42" s="451" t="s">
        <v>17</v>
      </c>
      <c r="C42" s="192"/>
      <c r="D42" s="192"/>
      <c r="E42" s="452"/>
      <c r="F42" s="204">
        <v>0.2</v>
      </c>
      <c r="G42" s="453">
        <f>ROUND(F42*$G$30,2)</f>
        <v>374.47</v>
      </c>
      <c r="H42" s="453">
        <f>ROUND(F42*$H$30,2)</f>
        <v>484.61</v>
      </c>
      <c r="I42" s="453">
        <f>ROUND(F42*$I$30,2)</f>
        <v>536.53</v>
      </c>
    </row>
    <row r="43" spans="1:1019" ht="19.5" customHeight="1">
      <c r="A43" s="371" t="s">
        <v>5</v>
      </c>
      <c r="B43" s="439" t="s">
        <v>18</v>
      </c>
      <c r="C43" s="440"/>
      <c r="D43" s="440"/>
      <c r="E43" s="441"/>
      <c r="F43" s="204">
        <v>2.5000000000000001E-2</v>
      </c>
      <c r="G43" s="453">
        <f t="shared" ref="G43:G49" si="9">ROUND(F43*$G$30,2)</f>
        <v>46.81</v>
      </c>
      <c r="H43" s="453">
        <f t="shared" ref="H43:H49" si="10">ROUND(F43*$H$30,2)</f>
        <v>60.58</v>
      </c>
      <c r="I43" s="453">
        <f t="shared" ref="I43:I49" si="11">ROUND(F43*$I$30,2)</f>
        <v>67.069999999999993</v>
      </c>
    </row>
    <row r="44" spans="1:1019" ht="19.5" customHeight="1">
      <c r="A44" s="371" t="s">
        <v>6</v>
      </c>
      <c r="B44" s="982" t="s">
        <v>19</v>
      </c>
      <c r="C44" s="983"/>
      <c r="D44" s="983"/>
      <c r="E44" s="984"/>
      <c r="F44" s="712">
        <v>0.03</v>
      </c>
      <c r="G44" s="453">
        <f t="shared" si="9"/>
        <v>56.17</v>
      </c>
      <c r="H44" s="453">
        <f t="shared" si="10"/>
        <v>72.69</v>
      </c>
      <c r="I44" s="453">
        <f t="shared" si="11"/>
        <v>80.48</v>
      </c>
    </row>
    <row r="45" spans="1:1019" ht="19.5" customHeight="1">
      <c r="A45" s="371" t="s">
        <v>7</v>
      </c>
      <c r="B45" s="439" t="s">
        <v>20</v>
      </c>
      <c r="C45" s="440"/>
      <c r="D45" s="440"/>
      <c r="E45" s="441"/>
      <c r="F45" s="204">
        <v>1.4999999999999999E-2</v>
      </c>
      <c r="G45" s="453">
        <f t="shared" si="9"/>
        <v>28.09</v>
      </c>
      <c r="H45" s="453">
        <f t="shared" si="10"/>
        <v>36.35</v>
      </c>
      <c r="I45" s="453">
        <f t="shared" si="11"/>
        <v>40.24</v>
      </c>
    </row>
    <row r="46" spans="1:1019" ht="19.5" customHeight="1">
      <c r="A46" s="371" t="s">
        <v>9</v>
      </c>
      <c r="B46" s="439" t="s">
        <v>21</v>
      </c>
      <c r="C46" s="440"/>
      <c r="D46" s="440"/>
      <c r="E46" s="441"/>
      <c r="F46" s="204">
        <v>0.01</v>
      </c>
      <c r="G46" s="453">
        <f t="shared" si="9"/>
        <v>18.72</v>
      </c>
      <c r="H46" s="453">
        <f t="shared" si="10"/>
        <v>24.23</v>
      </c>
      <c r="I46" s="453">
        <f t="shared" si="11"/>
        <v>26.83</v>
      </c>
    </row>
    <row r="47" spans="1:1019" ht="19.5" customHeight="1">
      <c r="A47" s="371" t="s">
        <v>12</v>
      </c>
      <c r="B47" s="439" t="s">
        <v>22</v>
      </c>
      <c r="C47" s="440"/>
      <c r="D47" s="440"/>
      <c r="E47" s="441"/>
      <c r="F47" s="204">
        <v>6.0000000000000001E-3</v>
      </c>
      <c r="G47" s="453">
        <f t="shared" si="9"/>
        <v>11.23</v>
      </c>
      <c r="H47" s="453">
        <f t="shared" si="10"/>
        <v>14.54</v>
      </c>
      <c r="I47" s="453">
        <f t="shared" si="11"/>
        <v>16.100000000000001</v>
      </c>
    </row>
    <row r="48" spans="1:1019" ht="19.5" customHeight="1">
      <c r="A48" s="371" t="s">
        <v>13</v>
      </c>
      <c r="B48" s="439" t="s">
        <v>23</v>
      </c>
      <c r="C48" s="440"/>
      <c r="D48" s="440"/>
      <c r="E48" s="441"/>
      <c r="F48" s="204">
        <v>2E-3</v>
      </c>
      <c r="G48" s="453">
        <f t="shared" si="9"/>
        <v>3.74</v>
      </c>
      <c r="H48" s="453">
        <f t="shared" si="10"/>
        <v>4.8499999999999996</v>
      </c>
      <c r="I48" s="453">
        <f t="shared" si="11"/>
        <v>5.37</v>
      </c>
    </row>
    <row r="49" spans="1:9" ht="19.5" customHeight="1">
      <c r="A49" s="371" t="s">
        <v>24</v>
      </c>
      <c r="B49" s="412" t="s">
        <v>25</v>
      </c>
      <c r="C49" s="384"/>
      <c r="D49" s="384"/>
      <c r="E49" s="370"/>
      <c r="F49" s="204">
        <v>0.08</v>
      </c>
      <c r="G49" s="453">
        <f t="shared" si="9"/>
        <v>149.79</v>
      </c>
      <c r="H49" s="453">
        <f t="shared" si="10"/>
        <v>193.84</v>
      </c>
      <c r="I49" s="453">
        <f t="shared" si="11"/>
        <v>214.61</v>
      </c>
    </row>
    <row r="50" spans="1:9" ht="19" customHeight="1">
      <c r="A50" s="969" t="s">
        <v>78</v>
      </c>
      <c r="B50" s="969"/>
      <c r="C50" s="969"/>
      <c r="D50" s="969"/>
      <c r="E50" s="969"/>
      <c r="F50" s="454">
        <f>SUM(F42:F49)</f>
        <v>0.36799999999999999</v>
      </c>
      <c r="G50" s="455">
        <f>ROUND(SUM(G42:G49),2)</f>
        <v>689.02</v>
      </c>
      <c r="H50" s="455">
        <f t="shared" ref="H50" si="12">ROUND(SUM(H42:H49),2)</f>
        <v>891.69</v>
      </c>
      <c r="I50" s="455">
        <f t="shared" ref="I50" si="13">ROUND(SUM(I42:I49),2)</f>
        <v>987.23</v>
      </c>
    </row>
    <row r="51" spans="1:9" ht="5.25" customHeight="1">
      <c r="A51" s="456"/>
      <c r="B51" s="456"/>
      <c r="C51" s="456"/>
      <c r="D51" s="456"/>
      <c r="E51" s="456"/>
      <c r="F51" s="456"/>
      <c r="G51" s="456"/>
      <c r="H51" s="457"/>
      <c r="I51" s="456"/>
    </row>
    <row r="52" spans="1:9" ht="19.5" customHeight="1">
      <c r="A52" s="968" t="s">
        <v>79</v>
      </c>
      <c r="B52" s="968"/>
      <c r="C52" s="968"/>
      <c r="D52" s="968"/>
      <c r="E52" s="968"/>
      <c r="F52" s="968"/>
      <c r="G52" s="969"/>
      <c r="H52" s="969"/>
      <c r="I52" s="969"/>
    </row>
    <row r="53" spans="1:9" ht="19.5" customHeight="1">
      <c r="A53" s="434"/>
      <c r="B53" s="449"/>
      <c r="C53" s="449"/>
      <c r="D53" s="449"/>
      <c r="E53" s="449"/>
      <c r="F53" s="450"/>
      <c r="G53" s="680" t="s">
        <v>14</v>
      </c>
      <c r="H53" s="679" t="s">
        <v>14</v>
      </c>
      <c r="I53" s="677" t="s">
        <v>14</v>
      </c>
    </row>
    <row r="54" spans="1:9" ht="19.5" customHeight="1">
      <c r="A54" s="458" t="s">
        <v>4</v>
      </c>
      <c r="B54" s="754" t="s">
        <v>28</v>
      </c>
      <c r="C54" s="754"/>
      <c r="D54" s="754"/>
      <c r="E54" s="754"/>
      <c r="F54" s="754"/>
      <c r="G54" s="442">
        <f>ROUND(('Benefícios e Outros Dados'!$J$15-'Benefícios e Outros Dados'!$J$16)*'Benefícios e Outros Dados'!$K$12,2)</f>
        <v>472.5</v>
      </c>
      <c r="H54" s="442">
        <f>ROUND(('Benefícios e Outros Dados'!$J$15-'Benefícios e Outros Dados'!$J$16)*'Benefícios e Outros Dados'!$K$12,2)</f>
        <v>472.5</v>
      </c>
      <c r="I54" s="442">
        <f>ROUND(('Benefícios e Outros Dados'!$J$15-'Benefícios e Outros Dados'!$J$16)*'Benefícios e Outros Dados'!$K$12,2)</f>
        <v>472.5</v>
      </c>
    </row>
    <row r="55" spans="1:9" ht="19.5" customHeight="1">
      <c r="A55" s="201" t="s">
        <v>5</v>
      </c>
      <c r="B55" s="997" t="s">
        <v>31</v>
      </c>
      <c r="C55" s="998"/>
      <c r="D55" s="998"/>
      <c r="E55" s="998"/>
      <c r="F55" s="998"/>
      <c r="G55" s="459">
        <f>ROUND(((('Benefícios e Outros Dados'!$J$17*'Benefícios e Outros Dados'!$J$18)+('Benefícios e Outros Dados'!$J$19*'Benefícios e Outros Dados'!$J$20))*'Benefícios e Outros Dados'!$K$12)-(0.06*G25),2)</f>
        <v>336.6</v>
      </c>
      <c r="H55" s="459">
        <f>ROUND(((('Benefícios e Outros Dados'!$J$17*'Benefícios e Outros Dados'!$J$18)+('Benefícios e Outros Dados'!$J$19*'Benefícios e Outros Dados'!$J$20))*'Benefícios e Outros Dados'!$K$12)-(0.06*H25),2)</f>
        <v>303.56</v>
      </c>
      <c r="I55" s="459">
        <f>ROUND(((('Benefícios e Outros Dados'!$J$17*'Benefícios e Outros Dados'!$J$18)+('Benefícios e Outros Dados'!$J$19*'Benefícios e Outros Dados'!$J$20))*'Benefícios e Outros Dados'!$K$12)-(0.06*I25),2)</f>
        <v>303.56</v>
      </c>
    </row>
    <row r="56" spans="1:9" ht="19.5" customHeight="1">
      <c r="A56" s="201" t="s">
        <v>6</v>
      </c>
      <c r="B56" s="737" t="s">
        <v>33</v>
      </c>
      <c r="C56" s="738"/>
      <c r="D56" s="738"/>
      <c r="E56" s="738"/>
      <c r="F56" s="738"/>
      <c r="G56" s="442">
        <f>'Benefícios e Outros Dados'!$J$21</f>
        <v>21.6</v>
      </c>
      <c r="H56" s="442">
        <f>'Benefícios e Outros Dados'!$J$21</f>
        <v>21.6</v>
      </c>
      <c r="I56" s="442">
        <f>'Benefícios e Outros Dados'!$J$21</f>
        <v>21.6</v>
      </c>
    </row>
    <row r="57" spans="1:9" ht="19.5" customHeight="1">
      <c r="A57" s="201" t="s">
        <v>7</v>
      </c>
      <c r="B57" s="972" t="s">
        <v>70</v>
      </c>
      <c r="C57" s="973"/>
      <c r="D57" s="973"/>
      <c r="E57" s="973"/>
      <c r="F57" s="973"/>
      <c r="G57" s="710"/>
      <c r="H57" s="710"/>
      <c r="I57" s="710"/>
    </row>
    <row r="58" spans="1:9" ht="19.5" customHeight="1">
      <c r="A58" s="201" t="s">
        <v>9</v>
      </c>
      <c r="B58" s="972" t="s">
        <v>70</v>
      </c>
      <c r="C58" s="973"/>
      <c r="D58" s="973"/>
      <c r="E58" s="973"/>
      <c r="F58" s="973"/>
      <c r="G58" s="710"/>
      <c r="H58" s="710"/>
      <c r="I58" s="710"/>
    </row>
    <row r="59" spans="1:9" ht="19.5" customHeight="1">
      <c r="A59" s="992" t="s">
        <v>80</v>
      </c>
      <c r="B59" s="993"/>
      <c r="C59" s="993"/>
      <c r="D59" s="993"/>
      <c r="E59" s="993"/>
      <c r="F59" s="994"/>
      <c r="G59" s="460">
        <f>ROUND(SUM(G54:G58),2)</f>
        <v>830.7</v>
      </c>
      <c r="H59" s="460">
        <f t="shared" ref="H59" si="14">ROUND(SUM(H54:H58),2)</f>
        <v>797.66</v>
      </c>
      <c r="I59" s="460">
        <f t="shared" ref="I59" si="15">ROUND(SUM(I54:I58),2)</f>
        <v>797.66</v>
      </c>
    </row>
    <row r="60" spans="1:9" ht="22" customHeight="1">
      <c r="A60" s="989" t="s">
        <v>81</v>
      </c>
      <c r="B60" s="995"/>
      <c r="C60" s="995"/>
      <c r="D60" s="995"/>
      <c r="E60" s="995"/>
      <c r="F60" s="996"/>
      <c r="G60" s="425">
        <f>ROUND(SUM(G59,G50,G38),2)</f>
        <v>1732.33</v>
      </c>
      <c r="H60" s="425">
        <f t="shared" ref="H60" si="16">ROUND(SUM(H59,H50,H38),2)</f>
        <v>1964.49</v>
      </c>
      <c r="I60" s="425">
        <f t="shared" ref="I60" si="17">ROUND(SUM(I59,I50,I38),2)</f>
        <v>2089.5100000000002</v>
      </c>
    </row>
    <row r="61" spans="1:9" ht="6.75" customHeight="1">
      <c r="A61" s="426"/>
      <c r="B61" s="427"/>
      <c r="C61" s="427"/>
      <c r="D61" s="427"/>
      <c r="E61" s="427"/>
      <c r="F61" s="427"/>
      <c r="G61" s="427"/>
      <c r="H61" s="428"/>
      <c r="I61" s="427"/>
    </row>
    <row r="62" spans="1:9" s="430" customFormat="1" ht="21.65" customHeight="1">
      <c r="A62" s="769" t="s">
        <v>82</v>
      </c>
      <c r="B62" s="769"/>
      <c r="C62" s="769"/>
      <c r="D62" s="769"/>
      <c r="E62" s="769"/>
      <c r="F62" s="769"/>
      <c r="G62" s="769"/>
      <c r="H62" s="769"/>
      <c r="I62" s="769"/>
    </row>
    <row r="63" spans="1:9" s="430" customFormat="1" ht="43" customHeight="1">
      <c r="A63" s="849"/>
      <c r="B63" s="849"/>
      <c r="C63" s="849"/>
      <c r="D63" s="849"/>
      <c r="E63" s="849"/>
      <c r="F63" s="849"/>
      <c r="G63" s="413" t="s">
        <v>505</v>
      </c>
      <c r="H63" s="413" t="s">
        <v>506</v>
      </c>
      <c r="I63" s="413" t="s">
        <v>490</v>
      </c>
    </row>
    <row r="64" spans="1:9" s="430" customFormat="1" ht="19.5" customHeight="1">
      <c r="A64" s="849"/>
      <c r="B64" s="849"/>
      <c r="C64" s="849"/>
      <c r="D64" s="849"/>
      <c r="E64" s="849"/>
      <c r="F64" s="849"/>
      <c r="G64" s="678" t="s">
        <v>14</v>
      </c>
      <c r="H64" s="679" t="s">
        <v>14</v>
      </c>
      <c r="I64" s="677" t="s">
        <v>14</v>
      </c>
    </row>
    <row r="65" spans="1:9" ht="19.5" customHeight="1">
      <c r="A65" s="1012" t="s">
        <v>4</v>
      </c>
      <c r="B65" s="1013" t="s">
        <v>35</v>
      </c>
      <c r="C65" s="1014"/>
      <c r="D65" s="1014"/>
      <c r="E65" s="1014"/>
      <c r="F65" s="1015"/>
      <c r="G65" s="1016">
        <f>ROUND(((G30+G36+G37+G103)/12)*(30/30)*$E$66,2)</f>
        <v>10.43</v>
      </c>
      <c r="H65" s="1016">
        <f t="shared" ref="H65" si="18">ROUND(((H30+H36+H37+H103)/12)*(30/30)*$E$66,2)</f>
        <v>13.5</v>
      </c>
      <c r="I65" s="1016">
        <f t="shared" ref="I65" si="19">ROUND(((I30+I36+I37+I103)/12)*(30/30)*$E$66,2)</f>
        <v>14.94</v>
      </c>
    </row>
    <row r="66" spans="1:9" ht="66.650000000000006" customHeight="1">
      <c r="A66" s="787"/>
      <c r="B66" s="1004" t="s">
        <v>492</v>
      </c>
      <c r="C66" s="1004"/>
      <c r="D66" s="1004"/>
      <c r="E66" s="1011">
        <v>5.5500000000000001E-2</v>
      </c>
      <c r="F66" s="1011"/>
      <c r="G66" s="1016"/>
      <c r="H66" s="1016"/>
      <c r="I66" s="1016"/>
    </row>
    <row r="67" spans="1:9" ht="19.5" customHeight="1">
      <c r="A67" s="201" t="s">
        <v>5</v>
      </c>
      <c r="B67" s="412" t="s">
        <v>83</v>
      </c>
      <c r="C67" s="384"/>
      <c r="D67" s="384"/>
      <c r="E67" s="384"/>
      <c r="F67" s="384"/>
      <c r="G67" s="442">
        <f>ROUND(G65*0.08,2)</f>
        <v>0.83</v>
      </c>
      <c r="H67" s="442">
        <f>ROUND(H65*0.08,2)</f>
        <v>1.08</v>
      </c>
      <c r="I67" s="442">
        <f>ROUND(I65*0.08,2)</f>
        <v>1.2</v>
      </c>
    </row>
    <row r="68" spans="1:9" ht="39.5" customHeight="1">
      <c r="A68" s="201" t="s">
        <v>6</v>
      </c>
      <c r="B68" s="1004" t="s">
        <v>493</v>
      </c>
      <c r="C68" s="1004"/>
      <c r="D68" s="1004"/>
      <c r="E68" s="1004"/>
      <c r="F68" s="1004"/>
      <c r="G68" s="442">
        <f>ROUND((((G30+G36+G37+G103)/30)/12)*7*1,2)</f>
        <v>43.85</v>
      </c>
      <c r="H68" s="442">
        <f t="shared" ref="H68" si="20">ROUND((((H30+H36+H37+H103)/30)/12)*7*1,2)</f>
        <v>56.74</v>
      </c>
      <c r="I68" s="442">
        <f t="shared" ref="I68" si="21">ROUND((((I30+I36+I37+I103)/30)/12)*7*1,2)</f>
        <v>62.82</v>
      </c>
    </row>
    <row r="69" spans="1:9" ht="19.5" customHeight="1">
      <c r="A69" s="201" t="s">
        <v>7</v>
      </c>
      <c r="B69" s="1005" t="s">
        <v>84</v>
      </c>
      <c r="C69" s="1006"/>
      <c r="D69" s="1006"/>
      <c r="E69" s="1006"/>
      <c r="F69" s="1007"/>
      <c r="G69" s="442">
        <f>ROUND($F$50*G68,2)</f>
        <v>16.14</v>
      </c>
      <c r="H69" s="442">
        <f t="shared" ref="H69" si="22">ROUND($F$50*H68,2)</f>
        <v>20.88</v>
      </c>
      <c r="I69" s="442">
        <f t="shared" ref="I69" si="23">ROUND($F$50*I68,2)</f>
        <v>23.12</v>
      </c>
    </row>
    <row r="70" spans="1:9" ht="19.5" customHeight="1">
      <c r="A70" s="201" t="s">
        <v>9</v>
      </c>
      <c r="B70" s="1005" t="s">
        <v>85</v>
      </c>
      <c r="C70" s="1006"/>
      <c r="D70" s="1006"/>
      <c r="E70" s="1006"/>
      <c r="F70" s="1007"/>
      <c r="G70" s="442">
        <f>ROUND(0.04*G30,2)</f>
        <v>74.89</v>
      </c>
      <c r="H70" s="442">
        <f t="shared" ref="H70" si="24">ROUND(0.04*H30,2)</f>
        <v>96.92</v>
      </c>
      <c r="I70" s="442">
        <f t="shared" ref="I70" si="25">ROUND(0.04*I30,2)</f>
        <v>107.31</v>
      </c>
    </row>
    <row r="71" spans="1:9" ht="21.75" customHeight="1">
      <c r="A71" s="1008" t="s">
        <v>86</v>
      </c>
      <c r="B71" s="1009"/>
      <c r="C71" s="1009"/>
      <c r="D71" s="1009"/>
      <c r="E71" s="1009"/>
      <c r="F71" s="1010"/>
      <c r="G71" s="425">
        <f>ROUND(SUM(G65:G70),2)</f>
        <v>146.13999999999999</v>
      </c>
      <c r="H71" s="425">
        <f>ROUND(SUM(H65:H70),2)</f>
        <v>189.12</v>
      </c>
      <c r="I71" s="425">
        <f>ROUND(SUM(I65:I70),2)</f>
        <v>209.39</v>
      </c>
    </row>
    <row r="72" spans="1:9" ht="6.75" customHeight="1">
      <c r="A72" s="461"/>
      <c r="B72" s="462"/>
      <c r="C72" s="462"/>
      <c r="D72" s="462"/>
      <c r="E72" s="462"/>
      <c r="F72" s="462"/>
      <c r="G72" s="462"/>
      <c r="H72" s="462"/>
      <c r="I72" s="462"/>
    </row>
    <row r="73" spans="1:9" ht="21.65" customHeight="1">
      <c r="A73" s="769" t="s">
        <v>87</v>
      </c>
      <c r="B73" s="769"/>
      <c r="C73" s="769"/>
      <c r="D73" s="769"/>
      <c r="E73" s="769"/>
      <c r="F73" s="769"/>
      <c r="G73" s="769"/>
      <c r="H73" s="769"/>
      <c r="I73" s="769"/>
    </row>
    <row r="74" spans="1:9" s="430" customFormat="1" ht="43" customHeight="1">
      <c r="A74" s="1021"/>
      <c r="B74" s="1022"/>
      <c r="C74" s="1022"/>
      <c r="D74" s="1022"/>
      <c r="E74" s="1022"/>
      <c r="F74" s="1023"/>
      <c r="G74" s="413" t="s">
        <v>505</v>
      </c>
      <c r="H74" s="413" t="s">
        <v>506</v>
      </c>
      <c r="I74" s="413" t="s">
        <v>490</v>
      </c>
    </row>
    <row r="75" spans="1:9" ht="19.5" customHeight="1">
      <c r="A75" s="1024"/>
      <c r="B75" s="1025"/>
      <c r="C75" s="1025"/>
      <c r="D75" s="1025"/>
      <c r="E75" s="1025"/>
      <c r="F75" s="1026"/>
      <c r="G75" s="679" t="s">
        <v>14</v>
      </c>
      <c r="H75" s="679" t="s">
        <v>14</v>
      </c>
      <c r="I75" s="677" t="s">
        <v>14</v>
      </c>
    </row>
    <row r="76" spans="1:9" ht="45" customHeight="1">
      <c r="A76" s="1012" t="s">
        <v>4</v>
      </c>
      <c r="B76" s="1019" t="s">
        <v>191</v>
      </c>
      <c r="C76" s="184" t="s">
        <v>192</v>
      </c>
      <c r="D76" s="229" t="s">
        <v>322</v>
      </c>
      <c r="E76" s="184" t="s">
        <v>194</v>
      </c>
      <c r="F76" s="229" t="s">
        <v>494</v>
      </c>
      <c r="G76" s="1017">
        <f>ROUND(((($G$30+$G$60-$G$54-$G$55+$G$71)/30)*F77)/$E$19,2)</f>
        <v>8.17</v>
      </c>
      <c r="H76" s="1017">
        <f>ROUND(((($H$30+$H$60-$H$54-$H$55+$H$71)/30)*F77)/$E$19,2)</f>
        <v>10.56</v>
      </c>
      <c r="I76" s="1017">
        <f>ROUND(((($I$30+$I$60-$I$54-$I$55+$I$71)/30)*F77)/$E$19,2)</f>
        <v>11.68</v>
      </c>
    </row>
    <row r="77" spans="1:9" ht="19.5" customHeight="1">
      <c r="A77" s="787"/>
      <c r="B77" s="1020"/>
      <c r="C77" s="713">
        <v>1</v>
      </c>
      <c r="D77" s="184">
        <f>ROUND((1*E19)/12,2)</f>
        <v>5</v>
      </c>
      <c r="E77" s="463">
        <v>1</v>
      </c>
      <c r="F77" s="184">
        <f>C77*D77*E77</f>
        <v>5</v>
      </c>
      <c r="G77" s="1018"/>
      <c r="H77" s="1018"/>
      <c r="I77" s="1018"/>
    </row>
    <row r="78" spans="1:9" ht="46" customHeight="1">
      <c r="A78" s="1012" t="s">
        <v>5</v>
      </c>
      <c r="B78" s="1019" t="s">
        <v>196</v>
      </c>
      <c r="C78" s="184" t="s">
        <v>192</v>
      </c>
      <c r="D78" s="229" t="s">
        <v>322</v>
      </c>
      <c r="E78" s="184" t="s">
        <v>194</v>
      </c>
      <c r="F78" s="229" t="s">
        <v>494</v>
      </c>
      <c r="G78" s="1017">
        <f t="shared" ref="G78" si="26">ROUND(((($G$30+$G$60-$G$54-$G$55+$G$71)/30)*F79)/$E$19,2)</f>
        <v>7.8</v>
      </c>
      <c r="H78" s="1017">
        <f t="shared" ref="H78" si="27">ROUND(((($H$30+$H$60-$H$54-$H$55+$H$71)/30)*F79)/$E$19,2)</f>
        <v>10.08</v>
      </c>
      <c r="I78" s="1017">
        <f t="shared" ref="I78" si="28">ROUND(((($I$30+$I$60-$I$54-$I$55+$I$71)/30)*F79)/$E$19,2)</f>
        <v>11.15</v>
      </c>
    </row>
    <row r="79" spans="1:9" ht="19.5" customHeight="1">
      <c r="A79" s="787"/>
      <c r="B79" s="1020"/>
      <c r="C79" s="713">
        <v>9.2200000000000004E-2</v>
      </c>
      <c r="D79" s="184">
        <f>ROUND((15*E19)/12,2)</f>
        <v>75</v>
      </c>
      <c r="E79" s="463">
        <f>ROUND((252/365),4)</f>
        <v>0.69040000000000001</v>
      </c>
      <c r="F79" s="184">
        <f>ROUND(C79*D79*E79,4)</f>
        <v>4.7740999999999998</v>
      </c>
      <c r="G79" s="1018"/>
      <c r="H79" s="1018"/>
      <c r="I79" s="1018"/>
    </row>
    <row r="80" spans="1:9" ht="45.5" customHeight="1">
      <c r="A80" s="1012" t="s">
        <v>6</v>
      </c>
      <c r="B80" s="1019" t="s">
        <v>197</v>
      </c>
      <c r="C80" s="184" t="s">
        <v>192</v>
      </c>
      <c r="D80" s="229" t="s">
        <v>322</v>
      </c>
      <c r="E80" s="184" t="s">
        <v>194</v>
      </c>
      <c r="F80" s="229" t="s">
        <v>494</v>
      </c>
      <c r="G80" s="1017">
        <f t="shared" ref="G80" si="29">ROUND(((($G$30+$G$60-$G$54-$G$55+$G$71)/30)*F81)/$E$19,2)</f>
        <v>28.21</v>
      </c>
      <c r="H80" s="1017">
        <f t="shared" ref="H80" si="30">ROUND(((($H$30+$H$60-$H$54-$H$55+$H$71)/30)*F81)/$E$19,2)</f>
        <v>36.44</v>
      </c>
      <c r="I80" s="1017">
        <f t="shared" ref="I80" si="31">ROUND(((($I$30+$I$60-$I$54-$I$55+$I$71)/30)*F81)/$E$19,2)</f>
        <v>40.33</v>
      </c>
    </row>
    <row r="81" spans="1:9" ht="19.5" customHeight="1">
      <c r="A81" s="787"/>
      <c r="B81" s="1020"/>
      <c r="C81" s="713">
        <v>1</v>
      </c>
      <c r="D81" s="184">
        <f>ROUND((5*E19)/12,2)</f>
        <v>25</v>
      </c>
      <c r="E81" s="463">
        <f>ROUND((252/365),4)</f>
        <v>0.69040000000000001</v>
      </c>
      <c r="F81" s="184">
        <f>ROUND(C81*D81*E81,4)</f>
        <v>17.260000000000002</v>
      </c>
      <c r="G81" s="1018"/>
      <c r="H81" s="1018"/>
      <c r="I81" s="1018"/>
    </row>
    <row r="82" spans="1:9" ht="45.5" customHeight="1">
      <c r="A82" s="1012" t="s">
        <v>7</v>
      </c>
      <c r="B82" s="1019" t="s">
        <v>198</v>
      </c>
      <c r="C82" s="184" t="s">
        <v>192</v>
      </c>
      <c r="D82" s="229" t="s">
        <v>322</v>
      </c>
      <c r="E82" s="184" t="s">
        <v>194</v>
      </c>
      <c r="F82" s="229" t="s">
        <v>494</v>
      </c>
      <c r="G82" s="1017">
        <f t="shared" ref="G82" si="32">ROUND(((($G$30+$G$60-$G$54-$G$55+$G$71)/30)*F83)/$E$19,2)</f>
        <v>2.2000000000000002</v>
      </c>
      <c r="H82" s="1017">
        <f t="shared" ref="H82" si="33">ROUND(((($H$30+$H$60-$H$54-$H$55+$H$71)/30)*F83)/$E$19,2)</f>
        <v>2.84</v>
      </c>
      <c r="I82" s="1017">
        <f t="shared" ref="I82" si="34">ROUND(((($I$30+$I$60-$I$54-$I$55+$I$71)/30)*F83)/$E$19,2)</f>
        <v>3.14</v>
      </c>
    </row>
    <row r="83" spans="1:9" ht="19.5" customHeight="1">
      <c r="A83" s="787"/>
      <c r="B83" s="1020"/>
      <c r="C83" s="714">
        <v>0.13439999999999999</v>
      </c>
      <c r="D83" s="184">
        <f>ROUND((2*E19)/12,2)</f>
        <v>10</v>
      </c>
      <c r="E83" s="463">
        <v>1</v>
      </c>
      <c r="F83" s="184">
        <f>ROUND(C83*D83*E83,4)</f>
        <v>1.3440000000000001</v>
      </c>
      <c r="G83" s="1018"/>
      <c r="H83" s="1018"/>
      <c r="I83" s="1018"/>
    </row>
    <row r="84" spans="1:9" ht="44" customHeight="1">
      <c r="A84" s="1012" t="s">
        <v>7</v>
      </c>
      <c r="B84" s="1019" t="s">
        <v>199</v>
      </c>
      <c r="C84" s="184" t="s">
        <v>192</v>
      </c>
      <c r="D84" s="229" t="s">
        <v>322</v>
      </c>
      <c r="E84" s="184" t="s">
        <v>194</v>
      </c>
      <c r="F84" s="229" t="s">
        <v>494</v>
      </c>
      <c r="G84" s="1017">
        <f t="shared" ref="G84" si="35">ROUND(((($G$30+$G$60-$G$54-$G$55+$G$71)/30)*F85)/$E$19,2)</f>
        <v>0.34</v>
      </c>
      <c r="H84" s="1017">
        <f t="shared" ref="H84" si="36">ROUND(((($H$30+$H$60-$H$54-$H$55+$H$71)/30)*F85)/$E$19,2)</f>
        <v>0.44</v>
      </c>
      <c r="I84" s="1017">
        <f t="shared" ref="I84" si="37">ROUND(((($I$30+$I$60-$I$54-$I$55+$I$71)/30)*F85)/$E$19,2)</f>
        <v>0.49</v>
      </c>
    </row>
    <row r="85" spans="1:9" ht="19.5" customHeight="1">
      <c r="A85" s="787"/>
      <c r="B85" s="1020"/>
      <c r="C85" s="714">
        <v>3.0499999999999999E-2</v>
      </c>
      <c r="D85" s="184">
        <f>ROUND((2*E19)/12,2)</f>
        <v>10</v>
      </c>
      <c r="E85" s="463">
        <f>ROUND((252/365),4)</f>
        <v>0.69040000000000001</v>
      </c>
      <c r="F85" s="184">
        <f>ROUND(C85*D85*E85,4)</f>
        <v>0.21060000000000001</v>
      </c>
      <c r="G85" s="1018"/>
      <c r="H85" s="1018"/>
      <c r="I85" s="1018"/>
    </row>
    <row r="86" spans="1:9" ht="41" customHeight="1">
      <c r="A86" s="1012" t="s">
        <v>12</v>
      </c>
      <c r="B86" s="1019" t="s">
        <v>200</v>
      </c>
      <c r="C86" s="184" t="s">
        <v>192</v>
      </c>
      <c r="D86" s="229" t="s">
        <v>322</v>
      </c>
      <c r="E86" s="184" t="s">
        <v>194</v>
      </c>
      <c r="F86" s="229" t="s">
        <v>494</v>
      </c>
      <c r="G86" s="1017">
        <f t="shared" ref="G86" si="38">ROUND(((($G$30+$G$60-$G$54-$G$55+$G$71)/30)*F87)/$E$19,2)</f>
        <v>0.28999999999999998</v>
      </c>
      <c r="H86" s="1017">
        <f t="shared" ref="H86" si="39">ROUND(((($H$30+$H$60-$H$54-$H$55+$H$71)/30)*F87)/$E$19,2)</f>
        <v>0.37</v>
      </c>
      <c r="I86" s="1017">
        <f t="shared" ref="I86" si="40">ROUND(((($I$30+$I$60-$I$54-$I$55+$I$71)/30)*F87)/$E$19,2)</f>
        <v>0.41</v>
      </c>
    </row>
    <row r="87" spans="1:9" ht="19.5" customHeight="1">
      <c r="A87" s="787"/>
      <c r="B87" s="1020"/>
      <c r="C87" s="714">
        <v>1.18E-2</v>
      </c>
      <c r="D87" s="184">
        <f>ROUND((3*E19)/12,2)</f>
        <v>15</v>
      </c>
      <c r="E87" s="463">
        <v>1</v>
      </c>
      <c r="F87" s="184">
        <f>ROUND(C87*D87*E87,4)</f>
        <v>0.17699999999999999</v>
      </c>
      <c r="G87" s="1018"/>
      <c r="H87" s="1018"/>
      <c r="I87" s="1018"/>
    </row>
    <row r="88" spans="1:9" ht="43" customHeight="1">
      <c r="A88" s="1012" t="s">
        <v>13</v>
      </c>
      <c r="B88" s="1019" t="s">
        <v>201</v>
      </c>
      <c r="C88" s="184" t="s">
        <v>192</v>
      </c>
      <c r="D88" s="229" t="s">
        <v>322</v>
      </c>
      <c r="E88" s="184" t="s">
        <v>194</v>
      </c>
      <c r="F88" s="229" t="s">
        <v>494</v>
      </c>
      <c r="G88" s="1017">
        <f t="shared" ref="G88" si="41">ROUND(((($G$30+$G$60-$G$54-$G$55+$G$71)/30)*F89)/$E$19,2)</f>
        <v>0.16</v>
      </c>
      <c r="H88" s="1017">
        <f t="shared" ref="H88" si="42">ROUND(((($H$30+$H$60-$H$54-$H$55+$H$71)/30)*F89)/$E$19,2)</f>
        <v>0.21</v>
      </c>
      <c r="I88" s="1017">
        <f t="shared" ref="I88" si="43">ROUND(((($I$30+$I$60-$I$54-$I$55+$I$71)/30)*F89)/$E$19,2)</f>
        <v>0.23</v>
      </c>
    </row>
    <row r="89" spans="1:9" ht="19.5" customHeight="1">
      <c r="A89" s="787"/>
      <c r="B89" s="1020"/>
      <c r="C89" s="714">
        <v>0.02</v>
      </c>
      <c r="D89" s="184">
        <f>ROUND((1*E19)/12,2)</f>
        <v>5</v>
      </c>
      <c r="E89" s="463">
        <v>1</v>
      </c>
      <c r="F89" s="184">
        <f>ROUND(C89*D89*E89,4)</f>
        <v>0.1</v>
      </c>
      <c r="G89" s="1018"/>
      <c r="H89" s="1018"/>
      <c r="I89" s="1018"/>
    </row>
    <row r="90" spans="1:9" ht="41.5" customHeight="1">
      <c r="A90" s="1012" t="s">
        <v>24</v>
      </c>
      <c r="B90" s="1019" t="s">
        <v>202</v>
      </c>
      <c r="C90" s="184" t="s">
        <v>192</v>
      </c>
      <c r="D90" s="229" t="s">
        <v>322</v>
      </c>
      <c r="E90" s="184" t="s">
        <v>194</v>
      </c>
      <c r="F90" s="229" t="s">
        <v>494</v>
      </c>
      <c r="G90" s="1017">
        <f t="shared" ref="G90" si="44">ROUND(((($G$30+$G$60-$G$54-$G$55+$G$71)/30)*F91)/$E$19,2)</f>
        <v>0.03</v>
      </c>
      <c r="H90" s="1017">
        <f t="shared" ref="H90" si="45">ROUND(((($H$30+$H$60-$H$54-$H$55+$H$71)/30)*F91)/$E$19,2)</f>
        <v>0.04</v>
      </c>
      <c r="I90" s="1017">
        <f t="shared" ref="I90" si="46">ROUND(((($I$30+$I$60-$I$54-$I$55+$I$71)/30)*F91)/$E$19,2)</f>
        <v>0.05</v>
      </c>
    </row>
    <row r="91" spans="1:9" ht="19.5" customHeight="1">
      <c r="A91" s="787"/>
      <c r="B91" s="1020"/>
      <c r="C91" s="714">
        <v>4.0000000000000001E-3</v>
      </c>
      <c r="D91" s="184">
        <f>ROUND((1*E19)/12,2)</f>
        <v>5</v>
      </c>
      <c r="E91" s="463">
        <v>1</v>
      </c>
      <c r="F91" s="184">
        <f>ROUND(C91*D91*E91,4)</f>
        <v>0.02</v>
      </c>
      <c r="G91" s="1018"/>
      <c r="H91" s="1018"/>
      <c r="I91" s="1018"/>
    </row>
    <row r="92" spans="1:9" ht="43" customHeight="1">
      <c r="A92" s="1012" t="s">
        <v>67</v>
      </c>
      <c r="B92" s="1019" t="s">
        <v>203</v>
      </c>
      <c r="C92" s="184" t="s">
        <v>192</v>
      </c>
      <c r="D92" s="229" t="s">
        <v>322</v>
      </c>
      <c r="E92" s="184" t="s">
        <v>194</v>
      </c>
      <c r="F92" s="229" t="s">
        <v>494</v>
      </c>
      <c r="G92" s="1017">
        <f t="shared" ref="G92" si="47">ROUND(((($G$30+$G$60-$G$54-$G$55+$G$71)/30)*F93)/$E$19,2)</f>
        <v>0.4</v>
      </c>
      <c r="H92" s="1017">
        <f t="shared" ref="H92" si="48">ROUND(((($H$30+$H$60-$H$54-$H$55+$H$71)/30)*F93)/$E$19,2)</f>
        <v>0.52</v>
      </c>
      <c r="I92" s="1017">
        <f t="shared" ref="I92" si="49">ROUND(((($I$30+$I$60-$I$54-$I$55+$I$71)/30)*F93)/$E$19,2)</f>
        <v>0.57999999999999996</v>
      </c>
    </row>
    <row r="93" spans="1:9" ht="19.5" customHeight="1">
      <c r="A93" s="787"/>
      <c r="B93" s="1020"/>
      <c r="C93" s="713">
        <v>1.43E-2</v>
      </c>
      <c r="D93" s="184">
        <f>ROUND((5*E19)/12,2)</f>
        <v>25</v>
      </c>
      <c r="E93" s="463">
        <f>ROUND((252/365),4)</f>
        <v>0.69040000000000001</v>
      </c>
      <c r="F93" s="184">
        <f>ROUND(C93*D93*E93,4)</f>
        <v>0.24679999999999999</v>
      </c>
      <c r="G93" s="1018"/>
      <c r="H93" s="1018"/>
      <c r="I93" s="1018"/>
    </row>
    <row r="94" spans="1:9" ht="43.5" customHeight="1">
      <c r="A94" s="1012" t="s">
        <v>204</v>
      </c>
      <c r="B94" s="1019" t="s">
        <v>205</v>
      </c>
      <c r="C94" s="184" t="s">
        <v>192</v>
      </c>
      <c r="D94" s="229" t="s">
        <v>322</v>
      </c>
      <c r="E94" s="184" t="s">
        <v>194</v>
      </c>
      <c r="F94" s="229" t="s">
        <v>494</v>
      </c>
      <c r="G94" s="1017">
        <f t="shared" ref="G94" si="50">ROUND(((($G$30+$G$60-$G$54-$G$55+$G$71)/30)*F95)/$E$19,2)</f>
        <v>13.34</v>
      </c>
      <c r="H94" s="1017">
        <f t="shared" ref="H94" si="51">ROUND(((($H$30+$H$60-$H$54-$H$55+$H$71)/30)*F95)/$E$19,2)</f>
        <v>17.23</v>
      </c>
      <c r="I94" s="1017">
        <f t="shared" ref="I94" si="52">ROUND(((($I$30+$I$60-$I$54-$I$55+$I$71)/30)*F95)/$E$19,2)</f>
        <v>19.07</v>
      </c>
    </row>
    <row r="95" spans="1:9" ht="19.5" customHeight="1">
      <c r="A95" s="787"/>
      <c r="B95" s="1020"/>
      <c r="C95" s="713">
        <v>1.9699999999999999E-2</v>
      </c>
      <c r="D95" s="184">
        <f>ROUND((120*E19)/12,2)</f>
        <v>600</v>
      </c>
      <c r="E95" s="463">
        <f>ROUND((252/365),4)</f>
        <v>0.69040000000000001</v>
      </c>
      <c r="F95" s="184">
        <f>ROUND(C95*D95*E95,4)</f>
        <v>8.1605000000000008</v>
      </c>
      <c r="G95" s="1018"/>
      <c r="H95" s="1018"/>
      <c r="I95" s="1018"/>
    </row>
    <row r="96" spans="1:9" ht="41.5" customHeight="1">
      <c r="A96" s="755" t="s">
        <v>206</v>
      </c>
      <c r="B96" s="1019" t="s">
        <v>207</v>
      </c>
      <c r="C96" s="184" t="s">
        <v>192</v>
      </c>
      <c r="D96" s="229" t="s">
        <v>322</v>
      </c>
      <c r="E96" s="184" t="s">
        <v>194</v>
      </c>
      <c r="F96" s="229" t="s">
        <v>494</v>
      </c>
      <c r="G96" s="1017">
        <f t="shared" ref="G96" si="53">ROUND(((($G$30+$G$60-$G$54-$G$55+$G$71)/30)*F97)/$E$19,2)</f>
        <v>0.08</v>
      </c>
      <c r="H96" s="1017">
        <f t="shared" ref="H96" si="54">ROUND(((($H$30+$H$60-$H$54-$H$55+$H$71)/30)*F97)/$E$19,2)</f>
        <v>0.1</v>
      </c>
      <c r="I96" s="1017">
        <f t="shared" ref="I96" si="55">ROUND(((($I$30+$I$60-$I$54-$I$55+$I$71)/30)*F97)/$E$19,2)</f>
        <v>0.11</v>
      </c>
    </row>
    <row r="97" spans="1:9" ht="19.5" customHeight="1">
      <c r="A97" s="755"/>
      <c r="B97" s="1020"/>
      <c r="C97" s="714">
        <v>1.6000000000000001E-3</v>
      </c>
      <c r="D97" s="184">
        <f>ROUND((6*E19)/12,2)</f>
        <v>30</v>
      </c>
      <c r="E97" s="463">
        <v>1</v>
      </c>
      <c r="F97" s="184">
        <f>ROUND(C97*D97*E97,4)</f>
        <v>4.8000000000000001E-2</v>
      </c>
      <c r="G97" s="1018"/>
      <c r="H97" s="1018"/>
      <c r="I97" s="1018"/>
    </row>
    <row r="98" spans="1:9" ht="48" customHeight="1">
      <c r="A98" s="1012" t="s">
        <v>208</v>
      </c>
      <c r="B98" s="1069" t="s">
        <v>287</v>
      </c>
      <c r="C98" s="184" t="s">
        <v>192</v>
      </c>
      <c r="D98" s="229" t="s">
        <v>322</v>
      </c>
      <c r="E98" s="184" t="s">
        <v>194</v>
      </c>
      <c r="F98" s="229" t="s">
        <v>494</v>
      </c>
      <c r="G98" s="1017">
        <f t="shared" ref="G98" si="56">ROUND(((($G$30+$G$60-$G$54-$G$55+$G$71)/30)*F99)/$E$19,2)</f>
        <v>0.11</v>
      </c>
      <c r="H98" s="1017">
        <f t="shared" ref="H98" si="57">ROUND(((($H$30+$H$60-$H$54-$H$55+$H$71)/30)*F99)/$E$19,2)</f>
        <v>0.15</v>
      </c>
      <c r="I98" s="1017">
        <f t="shared" ref="I98" si="58">ROUND(((($I$30+$I$60-$I$54-$I$55+$I$71)/30)*F99)/$E$19,2)</f>
        <v>0.16</v>
      </c>
    </row>
    <row r="99" spans="1:9" ht="19.5" customHeight="1">
      <c r="A99" s="787"/>
      <c r="B99" s="1070"/>
      <c r="C99" s="714">
        <v>0.01</v>
      </c>
      <c r="D99" s="184">
        <f>ROUND((2*E19)/12,2)</f>
        <v>10</v>
      </c>
      <c r="E99" s="463">
        <f>ROUND((252/365),4)</f>
        <v>0.69040000000000001</v>
      </c>
      <c r="F99" s="184">
        <f>ROUND(C99*D99*E99,4)</f>
        <v>6.9000000000000006E-2</v>
      </c>
      <c r="G99" s="1018"/>
      <c r="H99" s="1018"/>
      <c r="I99" s="1018"/>
    </row>
    <row r="100" spans="1:9" ht="19.5" customHeight="1">
      <c r="A100" s="458" t="s">
        <v>288</v>
      </c>
      <c r="B100" s="715" t="s">
        <v>209</v>
      </c>
      <c r="C100" s="716"/>
      <c r="D100" s="716"/>
      <c r="E100" s="716"/>
      <c r="F100" s="716"/>
      <c r="G100" s="710"/>
      <c r="H100" s="710"/>
      <c r="I100" s="710"/>
    </row>
    <row r="101" spans="1:9" ht="19.5" customHeight="1">
      <c r="A101" s="1044" t="s">
        <v>88</v>
      </c>
      <c r="B101" s="1045"/>
      <c r="C101" s="1045"/>
      <c r="D101" s="1045"/>
      <c r="E101" s="1045"/>
      <c r="F101" s="1046"/>
      <c r="G101" s="464">
        <f>SUM(G76:G100)</f>
        <v>61.13</v>
      </c>
      <c r="H101" s="464">
        <f t="shared" ref="H101" si="59">SUM(H76:H100)</f>
        <v>78.98</v>
      </c>
      <c r="I101" s="464">
        <f t="shared" ref="I101" si="60">SUM(I76:I100)</f>
        <v>87.4</v>
      </c>
    </row>
    <row r="102" spans="1:9" ht="19.5" customHeight="1">
      <c r="A102" s="458" t="s">
        <v>211</v>
      </c>
      <c r="B102" s="412" t="s">
        <v>89</v>
      </c>
      <c r="C102" s="384"/>
      <c r="D102" s="384"/>
      <c r="E102" s="384"/>
      <c r="F102" s="384"/>
      <c r="G102" s="442">
        <f>ROUND($F$50*(G101-G94),2)</f>
        <v>17.59</v>
      </c>
      <c r="H102" s="442">
        <f t="shared" ref="H102" si="61">ROUND($F$50*(H101-H94),2)</f>
        <v>22.72</v>
      </c>
      <c r="I102" s="442">
        <f t="shared" ref="I102" si="62">ROUND($F$50*(I101-I94),2)</f>
        <v>25.15</v>
      </c>
    </row>
    <row r="103" spans="1:9" ht="18.75" customHeight="1">
      <c r="A103" s="458" t="s">
        <v>212</v>
      </c>
      <c r="B103" s="737" t="s">
        <v>90</v>
      </c>
      <c r="C103" s="738"/>
      <c r="D103" s="739"/>
      <c r="E103" s="1055">
        <v>9.0749999999999997E-2</v>
      </c>
      <c r="F103" s="1056"/>
      <c r="G103" s="442">
        <f>ROUND($E$103*G30,2)</f>
        <v>169.92</v>
      </c>
      <c r="H103" s="442">
        <f t="shared" ref="H103" si="63">ROUND($E$103*H30,2)</f>
        <v>219.89</v>
      </c>
      <c r="I103" s="442">
        <f t="shared" ref="I103" si="64">ROUND($E$103*I30,2)</f>
        <v>243.45</v>
      </c>
    </row>
    <row r="104" spans="1:9" ht="33.75" customHeight="1">
      <c r="A104" s="458" t="s">
        <v>289</v>
      </c>
      <c r="B104" s="979" t="s">
        <v>26</v>
      </c>
      <c r="C104" s="980"/>
      <c r="D104" s="981"/>
      <c r="E104" s="1057">
        <f>F50*21.19%</f>
        <v>7.8E-2</v>
      </c>
      <c r="F104" s="1058"/>
      <c r="G104" s="442">
        <f>ROUND($E$104*G30,2)</f>
        <v>146.04</v>
      </c>
      <c r="H104" s="442">
        <f t="shared" ref="H104" si="65">ROUND($E$104*H30,2)</f>
        <v>189</v>
      </c>
      <c r="I104" s="442">
        <f t="shared" ref="I104" si="66">ROUND($E$104*I30,2)</f>
        <v>209.25</v>
      </c>
    </row>
    <row r="105" spans="1:9" ht="19.5" customHeight="1">
      <c r="A105" s="992" t="s">
        <v>91</v>
      </c>
      <c r="B105" s="993"/>
      <c r="C105" s="993"/>
      <c r="D105" s="993"/>
      <c r="E105" s="993"/>
      <c r="F105" s="994"/>
      <c r="G105" s="445">
        <f>SUM(G101:G104)</f>
        <v>394.68</v>
      </c>
      <c r="H105" s="445">
        <f>SUM(H101:H104)</f>
        <v>510.59</v>
      </c>
      <c r="I105" s="445">
        <f>SUM(I101:I104)</f>
        <v>565.25</v>
      </c>
    </row>
    <row r="106" spans="1:9" ht="4.5" customHeight="1">
      <c r="A106" s="465"/>
      <c r="B106" s="432"/>
      <c r="C106" s="432"/>
      <c r="D106" s="432"/>
      <c r="E106" s="432"/>
      <c r="F106" s="432"/>
      <c r="G106" s="432"/>
      <c r="H106" s="432"/>
      <c r="I106" s="432"/>
    </row>
    <row r="107" spans="1:9" ht="18.75" customHeight="1">
      <c r="A107" s="1054" t="s">
        <v>92</v>
      </c>
      <c r="B107" s="1054"/>
      <c r="C107" s="1054"/>
      <c r="D107" s="1054"/>
      <c r="E107" s="1054"/>
      <c r="F107" s="1054"/>
      <c r="G107" s="1054"/>
      <c r="H107" s="1054"/>
      <c r="I107" s="1054"/>
    </row>
    <row r="108" spans="1:9" ht="19.5" customHeight="1">
      <c r="A108" s="466"/>
      <c r="B108" s="467"/>
      <c r="C108" s="467"/>
      <c r="D108" s="467"/>
      <c r="E108" s="467"/>
      <c r="F108" s="467"/>
      <c r="G108" s="681" t="s">
        <v>14</v>
      </c>
      <c r="H108" s="681" t="s">
        <v>14</v>
      </c>
      <c r="I108" s="677" t="s">
        <v>14</v>
      </c>
    </row>
    <row r="109" spans="1:9" ht="19.5" customHeight="1">
      <c r="A109" s="201" t="s">
        <v>4</v>
      </c>
      <c r="B109" s="412" t="s">
        <v>93</v>
      </c>
      <c r="C109" s="384"/>
      <c r="D109" s="384"/>
      <c r="E109" s="384"/>
      <c r="F109" s="384"/>
      <c r="G109" s="442">
        <v>0</v>
      </c>
      <c r="H109" s="442">
        <v>0</v>
      </c>
      <c r="I109" s="442">
        <v>0</v>
      </c>
    </row>
    <row r="110" spans="1:9" ht="19.5" customHeight="1">
      <c r="A110" s="992" t="s">
        <v>94</v>
      </c>
      <c r="B110" s="993"/>
      <c r="C110" s="993"/>
      <c r="D110" s="993"/>
      <c r="E110" s="993"/>
      <c r="F110" s="994"/>
      <c r="G110" s="460">
        <f>G109</f>
        <v>0</v>
      </c>
      <c r="H110" s="460">
        <f>H109</f>
        <v>0</v>
      </c>
      <c r="I110" s="460">
        <f>I109</f>
        <v>0</v>
      </c>
    </row>
    <row r="111" spans="1:9" ht="5.25" customHeight="1">
      <c r="A111" s="468"/>
      <c r="B111" s="469"/>
      <c r="C111" s="469"/>
      <c r="D111" s="469"/>
      <c r="E111" s="469"/>
      <c r="F111" s="469"/>
      <c r="G111" s="469"/>
      <c r="H111" s="469"/>
      <c r="I111" s="469"/>
    </row>
    <row r="112" spans="1:9" ht="21.65" customHeight="1">
      <c r="A112" s="1051" t="s">
        <v>95</v>
      </c>
      <c r="B112" s="1052"/>
      <c r="C112" s="1052"/>
      <c r="D112" s="1052"/>
      <c r="E112" s="1052"/>
      <c r="F112" s="1053"/>
      <c r="G112" s="470">
        <f>ROUND(G110+G105,2)</f>
        <v>394.68</v>
      </c>
      <c r="H112" s="470">
        <f t="shared" ref="H112" si="67">ROUND(H110+H105,2)</f>
        <v>510.59</v>
      </c>
      <c r="I112" s="471">
        <f t="shared" ref="I112" si="68">ROUND(I110+I105,2)</f>
        <v>565.25</v>
      </c>
    </row>
    <row r="113" spans="1:9" ht="6.75" customHeight="1">
      <c r="A113" s="426"/>
      <c r="B113" s="427"/>
      <c r="C113" s="427"/>
      <c r="D113" s="427"/>
      <c r="E113" s="427"/>
      <c r="F113" s="427"/>
      <c r="G113" s="427"/>
      <c r="H113" s="428"/>
      <c r="I113" s="427"/>
    </row>
    <row r="114" spans="1:9" ht="21.65" customHeight="1">
      <c r="A114" s="965" t="s">
        <v>96</v>
      </c>
      <c r="B114" s="966"/>
      <c r="C114" s="966"/>
      <c r="D114" s="966"/>
      <c r="E114" s="966"/>
      <c r="F114" s="966"/>
      <c r="G114" s="966"/>
      <c r="H114" s="966"/>
      <c r="I114" s="966"/>
    </row>
    <row r="115" spans="1:9" s="430" customFormat="1" ht="43" customHeight="1">
      <c r="A115" s="1059"/>
      <c r="B115" s="1060"/>
      <c r="C115" s="1060"/>
      <c r="D115" s="1060"/>
      <c r="E115" s="1060"/>
      <c r="F115" s="1061"/>
      <c r="G115" s="413" t="s">
        <v>505</v>
      </c>
      <c r="H115" s="413" t="s">
        <v>506</v>
      </c>
      <c r="I115" s="413" t="s">
        <v>490</v>
      </c>
    </row>
    <row r="116" spans="1:9" s="430" customFormat="1" ht="19.5" customHeight="1">
      <c r="A116" s="1062"/>
      <c r="B116" s="1063"/>
      <c r="C116" s="1063"/>
      <c r="D116" s="1063"/>
      <c r="E116" s="1063"/>
      <c r="F116" s="1064"/>
      <c r="G116" s="677" t="s">
        <v>14</v>
      </c>
      <c r="H116" s="677" t="s">
        <v>14</v>
      </c>
      <c r="I116" s="677" t="s">
        <v>14</v>
      </c>
    </row>
    <row r="117" spans="1:9" ht="19.5" customHeight="1">
      <c r="A117" s="245" t="s">
        <v>97</v>
      </c>
      <c r="B117" s="1065" t="s">
        <v>98</v>
      </c>
      <c r="C117" s="1066"/>
      <c r="D117" s="1066"/>
      <c r="E117" s="1066"/>
      <c r="F117" s="1067"/>
      <c r="G117" s="472">
        <f>Uniforme!$G$26</f>
        <v>119.55</v>
      </c>
      <c r="H117" s="472">
        <f>Uniforme!$G$26</f>
        <v>119.55</v>
      </c>
      <c r="I117" s="472">
        <f>Uniforme!$G$26</f>
        <v>119.55</v>
      </c>
    </row>
    <row r="118" spans="1:9" s="200" customFormat="1" ht="19.5" customHeight="1">
      <c r="A118" s="245" t="s">
        <v>5</v>
      </c>
      <c r="B118" s="1065" t="s">
        <v>272</v>
      </c>
      <c r="C118" s="1066"/>
      <c r="D118" s="1066"/>
      <c r="E118" s="1066"/>
      <c r="F118" s="1067"/>
      <c r="G118" s="472">
        <f>Insumos!$G$79</f>
        <v>895.65</v>
      </c>
      <c r="H118" s="472">
        <f>Insumos!$G$79</f>
        <v>895.65</v>
      </c>
      <c r="I118" s="472">
        <f>Insumos!$G$79</f>
        <v>895.65</v>
      </c>
    </row>
    <row r="119" spans="1:9" s="200" customFormat="1" ht="19.5" customHeight="1">
      <c r="A119" s="245" t="s">
        <v>6</v>
      </c>
      <c r="B119" s="473" t="s">
        <v>310</v>
      </c>
      <c r="C119" s="474"/>
      <c r="D119" s="474"/>
      <c r="E119" s="474"/>
      <c r="F119" s="475"/>
      <c r="G119" s="472">
        <f>Equipamentos!$G$26</f>
        <v>59.51</v>
      </c>
      <c r="H119" s="472">
        <f>Equipamentos!$G$26</f>
        <v>59.51</v>
      </c>
      <c r="I119" s="472">
        <f>Equipamentos!$G$26</f>
        <v>59.51</v>
      </c>
    </row>
    <row r="120" spans="1:9" ht="19.5" customHeight="1">
      <c r="A120" s="201" t="s">
        <v>7</v>
      </c>
      <c r="B120" s="972" t="s">
        <v>70</v>
      </c>
      <c r="C120" s="973"/>
      <c r="D120" s="973"/>
      <c r="E120" s="973"/>
      <c r="F120" s="1068"/>
      <c r="G120" s="717"/>
      <c r="H120" s="717"/>
      <c r="I120" s="717"/>
    </row>
    <row r="121" spans="1:9" ht="22" customHeight="1">
      <c r="A121" s="989" t="s">
        <v>99</v>
      </c>
      <c r="B121" s="995"/>
      <c r="C121" s="995"/>
      <c r="D121" s="995"/>
      <c r="E121" s="995"/>
      <c r="F121" s="996"/>
      <c r="G121" s="425">
        <f>ROUND(SUM(G117:G120),2)</f>
        <v>1074.71</v>
      </c>
      <c r="H121" s="425">
        <f t="shared" ref="H121" si="69">ROUND(SUM(H117:H120),2)</f>
        <v>1074.71</v>
      </c>
      <c r="I121" s="425">
        <f t="shared" ref="I121" si="70">ROUND(SUM(I117:I120),2)</f>
        <v>1074.71</v>
      </c>
    </row>
    <row r="122" spans="1:9" ht="6.75" customHeight="1">
      <c r="A122" s="426"/>
      <c r="B122" s="427"/>
      <c r="C122" s="427"/>
      <c r="D122" s="427"/>
      <c r="E122" s="427"/>
      <c r="F122" s="427"/>
      <c r="G122" s="427"/>
      <c r="H122" s="428"/>
      <c r="I122" s="427"/>
    </row>
    <row r="123" spans="1:9" ht="23.25" customHeight="1">
      <c r="A123" s="769" t="s">
        <v>100</v>
      </c>
      <c r="B123" s="769"/>
      <c r="C123" s="769"/>
      <c r="D123" s="769"/>
      <c r="E123" s="769"/>
      <c r="F123" s="769"/>
      <c r="G123" s="769"/>
      <c r="H123" s="769"/>
      <c r="I123" s="769"/>
    </row>
    <row r="124" spans="1:9" ht="49" customHeight="1">
      <c r="A124" s="476"/>
      <c r="B124" s="477"/>
      <c r="C124" s="477"/>
      <c r="D124" s="477"/>
      <c r="E124" s="477"/>
      <c r="F124" s="477"/>
      <c r="G124" s="413" t="s">
        <v>505</v>
      </c>
      <c r="H124" s="413" t="s">
        <v>506</v>
      </c>
      <c r="I124" s="413" t="s">
        <v>490</v>
      </c>
    </row>
    <row r="125" spans="1:9" ht="19.5" customHeight="1">
      <c r="A125" s="1048"/>
      <c r="B125" s="1049"/>
      <c r="C125" s="1049"/>
      <c r="D125" s="1049"/>
      <c r="E125" s="1049"/>
      <c r="F125" s="1050"/>
      <c r="G125" s="677" t="s">
        <v>14</v>
      </c>
      <c r="H125" s="677" t="s">
        <v>14</v>
      </c>
      <c r="I125" s="677" t="s">
        <v>14</v>
      </c>
    </row>
    <row r="126" spans="1:9" ht="19.5" customHeight="1">
      <c r="A126" s="201" t="s">
        <v>4</v>
      </c>
      <c r="B126" s="737" t="s">
        <v>101</v>
      </c>
      <c r="C126" s="738"/>
      <c r="D126" s="738"/>
      <c r="E126" s="738"/>
      <c r="F126" s="739"/>
      <c r="G126" s="207">
        <f>ROUND((G30+G60+G71+G112+G121)*'Benefícios e Outros Dados'!$K$24,2)</f>
        <v>309.56</v>
      </c>
      <c r="H126" s="207">
        <f>ROUND((H30+H60+H71+H112+H121)*'Benefícios e Outros Dados'!$K$24,2)</f>
        <v>365.4</v>
      </c>
      <c r="I126" s="207">
        <f>ROUND((I30+I60+I71+I112+I121)*'Benefícios e Outros Dados'!$K$24,2)</f>
        <v>392.66</v>
      </c>
    </row>
    <row r="127" spans="1:9" ht="19.5" customHeight="1">
      <c r="A127" s="201" t="s">
        <v>5</v>
      </c>
      <c r="B127" s="737" t="s">
        <v>48</v>
      </c>
      <c r="C127" s="738"/>
      <c r="D127" s="738"/>
      <c r="E127" s="738"/>
      <c r="F127" s="739"/>
      <c r="G127" s="207">
        <f>ROUND((G30+G60+G71+G112+G121+G126)*'Benefícios e Outros Dados'!$K$25,2)</f>
        <v>331.79</v>
      </c>
      <c r="H127" s="207">
        <f>ROUND((H30+H60+H71+H112+H121+H126)*'Benefícios e Outros Dados'!$K$25,2)</f>
        <v>391.64</v>
      </c>
      <c r="I127" s="207">
        <f>ROUND((I30+I60+I71+I112+I121+I126)*'Benefícios e Outros Dados'!$K$25,2)</f>
        <v>420.85</v>
      </c>
    </row>
    <row r="128" spans="1:9" ht="19.5" customHeight="1">
      <c r="A128" s="1012" t="s">
        <v>6</v>
      </c>
      <c r="B128" s="1012" t="s">
        <v>102</v>
      </c>
      <c r="C128" s="1032" t="s">
        <v>103</v>
      </c>
      <c r="D128" s="1033"/>
      <c r="E128" s="764" t="s">
        <v>52</v>
      </c>
      <c r="F128" s="766"/>
      <c r="G128" s="207">
        <f>ROUND((($G$30+$G$60+$G$71+$G$112+$G$121+$G$126+$G$127)/(1-'Benefícios e Outros Dados'!K32))*'Benefícios e Outros Dados'!K27,2)</f>
        <v>112.79</v>
      </c>
      <c r="H128" s="248">
        <f>ROUND((($H$30+$H$60+$H$71+$H$112+$H$121+$H$126+$H$127)/(1-'Benefícios e Outros Dados'!K32))*'Benefícios e Outros Dados'!K27,2)</f>
        <v>133.13999999999999</v>
      </c>
      <c r="I128" s="207">
        <f>ROUND((($I$30+$I$60+$I$71+$I$112+$I$121+$I$126+$I$127)/(1-'Benefícios e Outros Dados'!K32))*'Benefícios e Outros Dados'!K27,2)</f>
        <v>143.06</v>
      </c>
    </row>
    <row r="129" spans="1:9" ht="19.5" customHeight="1">
      <c r="A129" s="1031"/>
      <c r="B129" s="1031"/>
      <c r="C129" s="1034"/>
      <c r="D129" s="1035"/>
      <c r="E129" s="764" t="s">
        <v>53</v>
      </c>
      <c r="F129" s="766"/>
      <c r="G129" s="207">
        <f>ROUND((($G$30+$G$60+$G$71+$G$112+$G$121+$G$126+$G$127)/(1-'Benefícios e Outros Dados'!K32))*'Benefícios e Outros Dados'!K28,2)</f>
        <v>519.51</v>
      </c>
      <c r="H129" s="207">
        <f>ROUND((($H$30+$H$60+$H$71+$H$112+$H$121+$H$126+$H$127)/(1-'Benefícios e Outros Dados'!K32))*'Benefícios e Outros Dados'!K28,2)</f>
        <v>613.23</v>
      </c>
      <c r="I129" s="207">
        <f>ROUND((($I$30+$I$60+$I$71+$I$112+$I$121+$I$126+$I$127)/(1-'Benefícios e Outros Dados'!K32))*'Benefícios e Outros Dados'!K28,2)</f>
        <v>658.96</v>
      </c>
    </row>
    <row r="130" spans="1:9" ht="19.5" customHeight="1">
      <c r="A130" s="1031"/>
      <c r="B130" s="1031"/>
      <c r="C130" s="1036"/>
      <c r="D130" s="1037"/>
      <c r="E130" s="764" t="s">
        <v>503</v>
      </c>
      <c r="F130" s="766"/>
      <c r="G130" s="207">
        <f>ROUND((($G$30+$G$60+$G$71+$G$112+$G$121+$G$126+$G$127)/(1-'Benefícios e Outros Dados'!K32))*'Benefícios e Outros Dados'!K29,2)</f>
        <v>0</v>
      </c>
      <c r="H130" s="207">
        <f>ROUND((($H$30+$H$60+$H$71+$H$112+$H$121+$H$126+$H$127)/(1-'Benefícios e Outros Dados'!K32))*'Benefícios e Outros Dados'!K29,2)</f>
        <v>0</v>
      </c>
      <c r="I130" s="207">
        <f>ROUND((($I$30+$I$60+$I$71+$I$112+$I$121+$I$126+$I$127)/(1-'Benefícios e Outros Dados'!K32))*'Benefícios e Outros Dados'!K29,2)</f>
        <v>0</v>
      </c>
    </row>
    <row r="131" spans="1:9" ht="19.5" customHeight="1">
      <c r="A131" s="1031"/>
      <c r="B131" s="1031"/>
      <c r="C131" s="1038" t="s">
        <v>105</v>
      </c>
      <c r="D131" s="1039"/>
      <c r="E131" s="764" t="s">
        <v>106</v>
      </c>
      <c r="F131" s="766"/>
      <c r="G131" s="207">
        <f>ROUND((($G$30+$G$60+$G$71+$G$112+$G$121+$G$126+$G$127)/(1-'Benefícios e Outros Dados'!K32))*'Benefícios e Outros Dados'!K31,2)</f>
        <v>341.78</v>
      </c>
      <c r="H131" s="248">
        <f>ROUND((($H$30+$H$60+$H$71+$H$112+$H$121+$H$126+$H$127)/(1-'Benefícios e Outros Dados'!K32))*'Benefícios e Outros Dados'!K31,2)</f>
        <v>403.44</v>
      </c>
      <c r="I131" s="207">
        <f>ROUND((($I$30+$I$60+$I$71+$I$112+$I$121+$I$126+$I$127)/(1-'Benefícios e Outros Dados'!K32))*'Benefícios e Outros Dados'!K31,2)</f>
        <v>433.53</v>
      </c>
    </row>
    <row r="132" spans="1:9" ht="19.5" customHeight="1">
      <c r="A132" s="1031"/>
      <c r="B132" s="1031"/>
      <c r="C132" s="740" t="s">
        <v>504</v>
      </c>
      <c r="D132" s="1043"/>
      <c r="E132" s="1043"/>
      <c r="F132" s="741"/>
      <c r="G132" s="207">
        <f>ROUND((($G$30+$G$60+$G$71+$G$112+$G$121+$G$126+$G$127)/(1-'Benefícios e Outros Dados'!K32))*'Benefícios e Outros Dados'!K30,2)</f>
        <v>0</v>
      </c>
      <c r="H132" s="207">
        <f>ROUND((($H$30+$H$60+$H$71+$H$112+$H$121+$H$126+$H$127)/(1-'Benefícios e Outros Dados'!K32))*'Benefícios e Outros Dados'!K30,2)</f>
        <v>0</v>
      </c>
      <c r="I132" s="207">
        <f>ROUND((($I$30+$I$60+$I$71+$I$112+$I$121+$I$126+$I$127)/(1-'Benefícios e Outros Dados'!K32))*'Benefícios e Outros Dados'!K30,2)</f>
        <v>0</v>
      </c>
    </row>
    <row r="133" spans="1:9" ht="19.5" customHeight="1">
      <c r="A133" s="787"/>
      <c r="B133" s="1044" t="s">
        <v>213</v>
      </c>
      <c r="C133" s="1045"/>
      <c r="D133" s="1045"/>
      <c r="E133" s="1045"/>
      <c r="F133" s="1046"/>
      <c r="G133" s="464">
        <f>SUM(G128,G129,G130,G131,G132)</f>
        <v>974.08</v>
      </c>
      <c r="H133" s="464">
        <f t="shared" ref="H133" si="71">SUM(H128,H129,H130,H131,H132)</f>
        <v>1149.81</v>
      </c>
      <c r="I133" s="464">
        <f t="shared" ref="I133" si="72">SUM(I128,I129,I130,I131,I132)</f>
        <v>1235.55</v>
      </c>
    </row>
    <row r="134" spans="1:9" ht="21.75" customHeight="1">
      <c r="A134" s="1008" t="s">
        <v>107</v>
      </c>
      <c r="B134" s="1009"/>
      <c r="C134" s="1009"/>
      <c r="D134" s="1009"/>
      <c r="E134" s="1009"/>
      <c r="F134" s="1010"/>
      <c r="G134" s="478">
        <f>ROUND(SUM(G133,G127,G126),2)</f>
        <v>1615.43</v>
      </c>
      <c r="H134" s="478">
        <f t="shared" ref="H134" si="73">ROUND(SUM(H133,H127,H126),2)</f>
        <v>1906.85</v>
      </c>
      <c r="I134" s="478">
        <f t="shared" ref="I134" si="74">ROUND(SUM(I133,I127,I126),2)</f>
        <v>2049.06</v>
      </c>
    </row>
    <row r="135" spans="1:9" ht="15" customHeight="1">
      <c r="A135" s="1040"/>
      <c r="B135" s="1041"/>
      <c r="C135" s="1041"/>
      <c r="D135" s="1041"/>
      <c r="E135" s="1041"/>
      <c r="F135" s="1041"/>
      <c r="G135" s="1041"/>
      <c r="H135" s="1041"/>
      <c r="I135" s="1041"/>
    </row>
    <row r="136" spans="1:9" ht="23.25" customHeight="1">
      <c r="A136" s="1042" t="s">
        <v>108</v>
      </c>
      <c r="B136" s="1042"/>
      <c r="C136" s="1042"/>
      <c r="D136" s="1042"/>
      <c r="E136" s="1042"/>
      <c r="F136" s="1042"/>
      <c r="G136" s="1042"/>
      <c r="H136" s="1042"/>
      <c r="I136" s="1042"/>
    </row>
    <row r="137" spans="1:9" ht="45.65" customHeight="1">
      <c r="A137" s="479"/>
      <c r="B137" s="480"/>
      <c r="C137" s="480"/>
      <c r="D137" s="480"/>
      <c r="E137" s="480"/>
      <c r="F137" s="480"/>
      <c r="G137" s="413" t="s">
        <v>505</v>
      </c>
      <c r="H137" s="413" t="s">
        <v>506</v>
      </c>
      <c r="I137" s="413" t="s">
        <v>490</v>
      </c>
    </row>
    <row r="138" spans="1:9" ht="19.5" customHeight="1">
      <c r="A138" s="201" t="s">
        <v>4</v>
      </c>
      <c r="B138" s="412" t="s">
        <v>109</v>
      </c>
      <c r="C138" s="384"/>
      <c r="D138" s="384"/>
      <c r="E138" s="384"/>
      <c r="F138" s="384"/>
      <c r="G138" s="481">
        <f>G30</f>
        <v>1872.36</v>
      </c>
      <c r="H138" s="481">
        <f t="shared" ref="H138" si="75">H30</f>
        <v>2423.0500000000002</v>
      </c>
      <c r="I138" s="481">
        <f t="shared" ref="I138" si="76">I30</f>
        <v>2682.66</v>
      </c>
    </row>
    <row r="139" spans="1:9" ht="19.5" customHeight="1">
      <c r="A139" s="201" t="s">
        <v>5</v>
      </c>
      <c r="B139" s="412" t="s">
        <v>110</v>
      </c>
      <c r="C139" s="384"/>
      <c r="D139" s="384"/>
      <c r="E139" s="384"/>
      <c r="F139" s="384"/>
      <c r="G139" s="481">
        <f>G60</f>
        <v>1732.33</v>
      </c>
      <c r="H139" s="481">
        <f t="shared" ref="H139" si="77">H60</f>
        <v>1964.49</v>
      </c>
      <c r="I139" s="481">
        <f t="shared" ref="I139" si="78">I60</f>
        <v>2089.5100000000002</v>
      </c>
    </row>
    <row r="140" spans="1:9" ht="19.5" customHeight="1">
      <c r="A140" s="201" t="s">
        <v>6</v>
      </c>
      <c r="B140" s="412" t="s">
        <v>111</v>
      </c>
      <c r="C140" s="384"/>
      <c r="D140" s="384"/>
      <c r="E140" s="384"/>
      <c r="F140" s="384"/>
      <c r="G140" s="481">
        <f>G71</f>
        <v>146.13999999999999</v>
      </c>
      <c r="H140" s="481">
        <f t="shared" ref="H140" si="79">H71</f>
        <v>189.12</v>
      </c>
      <c r="I140" s="481">
        <f t="shared" ref="I140" si="80">I71</f>
        <v>209.39</v>
      </c>
    </row>
    <row r="141" spans="1:9" ht="19.5" customHeight="1">
      <c r="A141" s="201" t="s">
        <v>7</v>
      </c>
      <c r="B141" s="412" t="s">
        <v>112</v>
      </c>
      <c r="C141" s="384"/>
      <c r="D141" s="384"/>
      <c r="E141" s="384"/>
      <c r="F141" s="384"/>
      <c r="G141" s="482">
        <f>G112</f>
        <v>394.68</v>
      </c>
      <c r="H141" s="482">
        <f t="shared" ref="H141" si="81">H112</f>
        <v>510.59</v>
      </c>
      <c r="I141" s="482">
        <f t="shared" ref="I141" si="82">I112</f>
        <v>565.25</v>
      </c>
    </row>
    <row r="142" spans="1:9" ht="19.5" customHeight="1">
      <c r="A142" s="201" t="s">
        <v>9</v>
      </c>
      <c r="B142" s="412" t="s">
        <v>113</v>
      </c>
      <c r="C142" s="384"/>
      <c r="D142" s="384"/>
      <c r="E142" s="384"/>
      <c r="F142" s="384"/>
      <c r="G142" s="481">
        <f>G121</f>
        <v>1074.71</v>
      </c>
      <c r="H142" s="481">
        <f t="shared" ref="H142" si="83">H121</f>
        <v>1074.71</v>
      </c>
      <c r="I142" s="481">
        <f t="shared" ref="I142" si="84">I121</f>
        <v>1074.71</v>
      </c>
    </row>
    <row r="143" spans="1:9" ht="19.5" customHeight="1">
      <c r="A143" s="201" t="s">
        <v>12</v>
      </c>
      <c r="B143" s="412" t="s">
        <v>114</v>
      </c>
      <c r="C143" s="384"/>
      <c r="D143" s="384"/>
      <c r="E143" s="384"/>
      <c r="F143" s="384"/>
      <c r="G143" s="481">
        <f>G134</f>
        <v>1615.43</v>
      </c>
      <c r="H143" s="481">
        <f t="shared" ref="H143" si="85">H134</f>
        <v>1906.85</v>
      </c>
      <c r="I143" s="481">
        <f t="shared" ref="I143" si="86">I134</f>
        <v>2049.06</v>
      </c>
    </row>
    <row r="144" spans="1:9" ht="23.25" customHeight="1">
      <c r="A144" s="1027" t="s">
        <v>214</v>
      </c>
      <c r="B144" s="1028"/>
      <c r="C144" s="1028"/>
      <c r="D144" s="1028"/>
      <c r="E144" s="1028"/>
      <c r="F144" s="1029"/>
      <c r="G144" s="668">
        <f>ROUND(SUM(G138:G143),2)</f>
        <v>6835.65</v>
      </c>
      <c r="H144" s="668">
        <f t="shared" ref="H144" si="87">ROUND(SUM(H138:H143),2)</f>
        <v>8068.81</v>
      </c>
      <c r="I144" s="668">
        <f t="shared" ref="I144" si="88">ROUND(SUM(I138:I143),2)</f>
        <v>8670.58</v>
      </c>
    </row>
    <row r="145" spans="1:9" ht="15" customHeight="1">
      <c r="A145" s="1030"/>
      <c r="B145" s="788"/>
      <c r="C145" s="788"/>
      <c r="D145" s="788"/>
      <c r="E145" s="788"/>
      <c r="F145" s="788"/>
      <c r="G145" s="788"/>
      <c r="H145" s="788"/>
      <c r="I145" s="788"/>
    </row>
    <row r="147" spans="1:9">
      <c r="I147" s="212"/>
    </row>
  </sheetData>
  <mergeCells count="151">
    <mergeCell ref="A19:D19"/>
    <mergeCell ref="E19:F19"/>
    <mergeCell ref="A123:I123"/>
    <mergeCell ref="A125:F125"/>
    <mergeCell ref="A110:F110"/>
    <mergeCell ref="A112:F112"/>
    <mergeCell ref="A107:I107"/>
    <mergeCell ref="A101:F101"/>
    <mergeCell ref="B103:D103"/>
    <mergeCell ref="E103:F103"/>
    <mergeCell ref="B104:D104"/>
    <mergeCell ref="E104:F104"/>
    <mergeCell ref="A121:F121"/>
    <mergeCell ref="A114:I114"/>
    <mergeCell ref="A115:F116"/>
    <mergeCell ref="B117:F117"/>
    <mergeCell ref="B118:F118"/>
    <mergeCell ref="B120:F120"/>
    <mergeCell ref="G98:G99"/>
    <mergeCell ref="H98:H99"/>
    <mergeCell ref="I98:I99"/>
    <mergeCell ref="A105:F105"/>
    <mergeCell ref="A98:A99"/>
    <mergeCell ref="B98:B99"/>
    <mergeCell ref="A144:F144"/>
    <mergeCell ref="A145:I145"/>
    <mergeCell ref="A128:A133"/>
    <mergeCell ref="B128:B132"/>
    <mergeCell ref="C128:D130"/>
    <mergeCell ref="C131:D131"/>
    <mergeCell ref="A134:F134"/>
    <mergeCell ref="A135:I135"/>
    <mergeCell ref="A136:I136"/>
    <mergeCell ref="C132:F132"/>
    <mergeCell ref="B133:F133"/>
    <mergeCell ref="B126:F126"/>
    <mergeCell ref="B127:F127"/>
    <mergeCell ref="E128:F128"/>
    <mergeCell ref="E129:F129"/>
    <mergeCell ref="E130:F130"/>
    <mergeCell ref="E131:F131"/>
    <mergeCell ref="A96:A97"/>
    <mergeCell ref="B96:B97"/>
    <mergeCell ref="G96:G97"/>
    <mergeCell ref="I96:I97"/>
    <mergeCell ref="B94:B95"/>
    <mergeCell ref="G94:G95"/>
    <mergeCell ref="A94:A95"/>
    <mergeCell ref="I94:I95"/>
    <mergeCell ref="H94:H95"/>
    <mergeCell ref="H96:H97"/>
    <mergeCell ref="A92:A93"/>
    <mergeCell ref="B92:B93"/>
    <mergeCell ref="G92:G93"/>
    <mergeCell ref="I92:I93"/>
    <mergeCell ref="A90:A91"/>
    <mergeCell ref="B90:B91"/>
    <mergeCell ref="G90:G91"/>
    <mergeCell ref="I90:I91"/>
    <mergeCell ref="H90:H91"/>
    <mergeCell ref="H92:H93"/>
    <mergeCell ref="A88:A89"/>
    <mergeCell ref="B88:B89"/>
    <mergeCell ref="G88:G89"/>
    <mergeCell ref="I88:I89"/>
    <mergeCell ref="A86:A87"/>
    <mergeCell ref="B86:B87"/>
    <mergeCell ref="G86:G87"/>
    <mergeCell ref="I86:I87"/>
    <mergeCell ref="H86:H87"/>
    <mergeCell ref="H88:H89"/>
    <mergeCell ref="A84:A85"/>
    <mergeCell ref="B84:B85"/>
    <mergeCell ref="G84:G85"/>
    <mergeCell ref="I84:I85"/>
    <mergeCell ref="A82:A83"/>
    <mergeCell ref="B82:B83"/>
    <mergeCell ref="G82:G83"/>
    <mergeCell ref="I82:I83"/>
    <mergeCell ref="H82:H83"/>
    <mergeCell ref="H84:H85"/>
    <mergeCell ref="A74:F75"/>
    <mergeCell ref="A76:A77"/>
    <mergeCell ref="B76:B77"/>
    <mergeCell ref="G76:G77"/>
    <mergeCell ref="I76:I77"/>
    <mergeCell ref="A73:I73"/>
    <mergeCell ref="H76:H77"/>
    <mergeCell ref="G80:G81"/>
    <mergeCell ref="I80:I81"/>
    <mergeCell ref="A78:A79"/>
    <mergeCell ref="B78:B79"/>
    <mergeCell ref="G78:G79"/>
    <mergeCell ref="I78:I79"/>
    <mergeCell ref="H78:H79"/>
    <mergeCell ref="H80:H81"/>
    <mergeCell ref="A80:A81"/>
    <mergeCell ref="B80:B81"/>
    <mergeCell ref="B68:F68"/>
    <mergeCell ref="B69:F69"/>
    <mergeCell ref="B70:F70"/>
    <mergeCell ref="A71:F71"/>
    <mergeCell ref="A62:I62"/>
    <mergeCell ref="B66:D66"/>
    <mergeCell ref="E66:F66"/>
    <mergeCell ref="A63:F64"/>
    <mergeCell ref="A65:A66"/>
    <mergeCell ref="B65:F65"/>
    <mergeCell ref="G65:G66"/>
    <mergeCell ref="I65:I66"/>
    <mergeCell ref="H65:H66"/>
    <mergeCell ref="B27:E27"/>
    <mergeCell ref="A23:E24"/>
    <mergeCell ref="A30:F30"/>
    <mergeCell ref="A59:F59"/>
    <mergeCell ref="A60:F60"/>
    <mergeCell ref="B54:F54"/>
    <mergeCell ref="B55:F55"/>
    <mergeCell ref="B56:F56"/>
    <mergeCell ref="B57:F57"/>
    <mergeCell ref="B58:F58"/>
    <mergeCell ref="A38:E38"/>
    <mergeCell ref="A40:I40"/>
    <mergeCell ref="B44:E44"/>
    <mergeCell ref="A50:E50"/>
    <mergeCell ref="A52:I52"/>
    <mergeCell ref="B28:E28"/>
    <mergeCell ref="J26:K26"/>
    <mergeCell ref="B17:F17"/>
    <mergeCell ref="B15:F15"/>
    <mergeCell ref="B16:F16"/>
    <mergeCell ref="F23:F24"/>
    <mergeCell ref="A32:I32"/>
    <mergeCell ref="A34:I34"/>
    <mergeCell ref="A1:I1"/>
    <mergeCell ref="A2:I2"/>
    <mergeCell ref="A5:I5"/>
    <mergeCell ref="A6:I6"/>
    <mergeCell ref="A7:I7"/>
    <mergeCell ref="A8:I8"/>
    <mergeCell ref="A9:I9"/>
    <mergeCell ref="B29:E29"/>
    <mergeCell ref="B12:F12"/>
    <mergeCell ref="B13:F13"/>
    <mergeCell ref="B10:F10"/>
    <mergeCell ref="B11:F11"/>
    <mergeCell ref="B14:F14"/>
    <mergeCell ref="A22:I22"/>
    <mergeCell ref="A21:I21"/>
    <mergeCell ref="B25:E25"/>
    <mergeCell ref="B26:E26"/>
  </mergeCells>
  <pageMargins left="0.511811024" right="0.511811024" top="0.78740157499999996" bottom="0.78740157499999996" header="0.31496062000000002" footer="0.31496062000000002"/>
  <pageSetup paperSize="9" scale="10" fitToHeight="0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G143"/>
  <sheetViews>
    <sheetView showGridLines="0" tabSelected="1" topLeftCell="A11" zoomScale="85" zoomScaleNormal="85" workbookViewId="0">
      <selection activeCell="J22" sqref="J22"/>
    </sheetView>
  </sheetViews>
  <sheetFormatPr defaultColWidth="8.7265625" defaultRowHeight="14.5"/>
  <cols>
    <col min="1" max="1" width="7.54296875" style="180" customWidth="1"/>
    <col min="2" max="2" width="14.54296875" style="180" customWidth="1"/>
    <col min="3" max="3" width="15.1796875" style="180" customWidth="1"/>
    <col min="4" max="4" width="15.90625" style="180" customWidth="1"/>
    <col min="5" max="5" width="14.81640625" style="180" customWidth="1"/>
    <col min="6" max="6" width="15.6328125" style="180" customWidth="1"/>
    <col min="7" max="7" width="22.81640625" style="180" customWidth="1"/>
    <col min="8" max="8" width="21.453125" style="180" customWidth="1"/>
    <col min="9" max="9" width="12.26953125" style="180" customWidth="1"/>
    <col min="10" max="10" width="21.54296875" style="180" customWidth="1"/>
    <col min="11" max="16384" width="8.7265625" style="180"/>
  </cols>
  <sheetData>
    <row r="1" spans="1:10" s="179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181"/>
      <c r="J1" s="181"/>
    </row>
    <row r="2" spans="1:10" s="179" customFormat="1" ht="32.15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483"/>
      <c r="J2" s="483"/>
    </row>
    <row r="3" spans="1:10" s="179" customFormat="1" ht="6" customHeight="1">
      <c r="A3" s="410"/>
      <c r="B3" s="410"/>
      <c r="C3" s="410"/>
      <c r="D3" s="410"/>
      <c r="E3" s="410"/>
      <c r="F3" s="410"/>
      <c r="G3" s="410"/>
      <c r="H3" s="410"/>
      <c r="I3" s="484"/>
      <c r="J3" s="484"/>
    </row>
    <row r="4" spans="1:10" s="179" customFormat="1" ht="18" customHeight="1">
      <c r="A4" s="412" t="s">
        <v>1</v>
      </c>
      <c r="B4" s="384"/>
      <c r="C4" s="384"/>
      <c r="D4" s="384"/>
      <c r="E4" s="384"/>
      <c r="F4" s="384"/>
      <c r="G4" s="755" t="str">
        <f>CCT!J4</f>
        <v>10707.720194-2025-26</v>
      </c>
      <c r="H4" s="755"/>
      <c r="I4" s="202"/>
      <c r="J4" s="202"/>
    </row>
    <row r="5" spans="1:10" s="179" customFormat="1" ht="9" customHeight="1">
      <c r="A5" s="742"/>
      <c r="B5" s="742"/>
      <c r="C5" s="742"/>
      <c r="D5" s="742"/>
      <c r="E5" s="742"/>
      <c r="F5" s="742"/>
      <c r="G5" s="742"/>
      <c r="H5" s="742"/>
      <c r="I5" s="484"/>
      <c r="J5" s="484"/>
    </row>
    <row r="6" spans="1:10" s="179" customFormat="1" ht="18" customHeight="1">
      <c r="A6" s="731" t="s">
        <v>340</v>
      </c>
      <c r="B6" s="731"/>
      <c r="C6" s="731"/>
      <c r="D6" s="731"/>
      <c r="E6" s="731"/>
      <c r="F6" s="731"/>
      <c r="G6" s="731"/>
      <c r="H6" s="731"/>
      <c r="I6" s="202"/>
      <c r="J6" s="202"/>
    </row>
    <row r="7" spans="1:10" ht="11.15" customHeight="1">
      <c r="A7" s="970"/>
      <c r="B7" s="971"/>
      <c r="C7" s="971"/>
      <c r="D7" s="971"/>
      <c r="E7" s="971"/>
      <c r="F7" s="971"/>
      <c r="G7" s="971"/>
      <c r="H7" s="971"/>
      <c r="I7" s="354"/>
      <c r="J7" s="354"/>
    </row>
    <row r="8" spans="1:10" ht="21.65" customHeight="1">
      <c r="A8" s="769" t="s">
        <v>3</v>
      </c>
      <c r="B8" s="769"/>
      <c r="C8" s="769"/>
      <c r="D8" s="769"/>
      <c r="E8" s="769"/>
      <c r="F8" s="769"/>
      <c r="G8" s="769"/>
      <c r="H8" s="769"/>
      <c r="I8" s="485"/>
      <c r="J8" s="485"/>
    </row>
    <row r="9" spans="1:10" ht="30" customHeight="1">
      <c r="A9" s="735" t="s">
        <v>55</v>
      </c>
      <c r="B9" s="735"/>
      <c r="C9" s="735"/>
      <c r="D9" s="735"/>
      <c r="E9" s="735"/>
      <c r="F9" s="735"/>
      <c r="G9" s="735"/>
      <c r="H9" s="735"/>
      <c r="I9" s="486"/>
      <c r="J9" s="486"/>
    </row>
    <row r="10" spans="1:10" ht="50.15" customHeight="1">
      <c r="A10" s="191" t="s">
        <v>4</v>
      </c>
      <c r="B10" s="975" t="s">
        <v>115</v>
      </c>
      <c r="C10" s="976"/>
      <c r="D10" s="976"/>
      <c r="E10" s="976"/>
      <c r="F10" s="977"/>
      <c r="G10" s="487" t="s">
        <v>508</v>
      </c>
      <c r="H10" s="487" t="s">
        <v>123</v>
      </c>
      <c r="I10" s="488"/>
      <c r="J10" s="192"/>
    </row>
    <row r="11" spans="1:10" ht="18.649999999999999" customHeight="1">
      <c r="A11" s="414" t="s">
        <v>5</v>
      </c>
      <c r="B11" s="962" t="s">
        <v>116</v>
      </c>
      <c r="C11" s="962"/>
      <c r="D11" s="962"/>
      <c r="E11" s="962"/>
      <c r="F11" s="962"/>
      <c r="G11" s="415" t="str">
        <f>CCT!E11</f>
        <v>RJ001061/2025</v>
      </c>
      <c r="H11" s="415" t="str">
        <f>CCT!E11</f>
        <v>RJ001061/2025</v>
      </c>
      <c r="I11" s="488"/>
      <c r="J11" s="193"/>
    </row>
    <row r="12" spans="1:10" ht="18.649999999999999" customHeight="1">
      <c r="A12" s="201" t="s">
        <v>6</v>
      </c>
      <c r="B12" s="974" t="s">
        <v>117</v>
      </c>
      <c r="C12" s="974"/>
      <c r="D12" s="974"/>
      <c r="E12" s="974"/>
      <c r="F12" s="974"/>
      <c r="G12" s="416">
        <f>CCT!I11</f>
        <v>2025</v>
      </c>
      <c r="H12" s="416">
        <f>CCT!I11</f>
        <v>2025</v>
      </c>
      <c r="I12" s="489"/>
      <c r="J12" s="490"/>
    </row>
    <row r="13" spans="1:10" ht="18.649999999999999" customHeight="1">
      <c r="A13" s="201" t="s">
        <v>7</v>
      </c>
      <c r="B13" s="962" t="s">
        <v>118</v>
      </c>
      <c r="C13" s="962"/>
      <c r="D13" s="962"/>
      <c r="E13" s="962"/>
      <c r="F13" s="962"/>
      <c r="G13" s="417" t="str">
        <f>CCT!A11</f>
        <v>Servente SEM Adicional</v>
      </c>
      <c r="H13" s="417" t="str">
        <f>CCT!A11</f>
        <v>Servente SEM Adicional</v>
      </c>
      <c r="I13" s="488"/>
      <c r="J13" s="193"/>
    </row>
    <row r="14" spans="1:10" ht="18.649999999999999" customHeight="1">
      <c r="A14" s="201" t="s">
        <v>9</v>
      </c>
      <c r="B14" s="962" t="s">
        <v>10</v>
      </c>
      <c r="C14" s="962"/>
      <c r="D14" s="962"/>
      <c r="E14" s="962"/>
      <c r="F14" s="962"/>
      <c r="G14" s="201" t="s">
        <v>11</v>
      </c>
      <c r="H14" s="201" t="s">
        <v>11</v>
      </c>
      <c r="I14" s="488"/>
      <c r="J14" s="193"/>
    </row>
    <row r="15" spans="1:10" ht="18.649999999999999" customHeight="1">
      <c r="A15" s="201" t="s">
        <v>12</v>
      </c>
      <c r="B15" s="962" t="s">
        <v>119</v>
      </c>
      <c r="C15" s="962"/>
      <c r="D15" s="962"/>
      <c r="E15" s="962"/>
      <c r="F15" s="962"/>
      <c r="G15" s="415" t="str">
        <f>CCT!J11</f>
        <v>1° de março</v>
      </c>
      <c r="H15" s="415" t="str">
        <f>CCT!J11</f>
        <v>1° de março</v>
      </c>
      <c r="I15" s="488"/>
      <c r="J15" s="491"/>
    </row>
    <row r="16" spans="1:10" ht="18.649999999999999" customHeight="1">
      <c r="A16" s="201" t="s">
        <v>13</v>
      </c>
      <c r="B16" s="962" t="s">
        <v>120</v>
      </c>
      <c r="C16" s="962"/>
      <c r="D16" s="962"/>
      <c r="E16" s="962"/>
      <c r="F16" s="962"/>
      <c r="G16" s="419">
        <f>CCT!K11</f>
        <v>1730.75</v>
      </c>
      <c r="H16" s="419">
        <f>CCT!K11</f>
        <v>1730.75</v>
      </c>
      <c r="I16" s="488"/>
      <c r="J16" s="490"/>
    </row>
    <row r="17" spans="1:16" ht="18.649999999999999" customHeight="1">
      <c r="A17" s="201" t="s">
        <v>24</v>
      </c>
      <c r="B17" s="962" t="s">
        <v>122</v>
      </c>
      <c r="C17" s="962"/>
      <c r="D17" s="962"/>
      <c r="E17" s="962"/>
      <c r="F17" s="962"/>
      <c r="G17" s="415" t="s">
        <v>124</v>
      </c>
      <c r="H17" s="415" t="s">
        <v>124</v>
      </c>
      <c r="I17" s="488"/>
      <c r="J17" s="192"/>
    </row>
    <row r="18" spans="1:16" ht="7.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</row>
    <row r="19" spans="1:16" ht="18.649999999999999" customHeight="1">
      <c r="A19" s="1047" t="s">
        <v>323</v>
      </c>
      <c r="B19" s="1047"/>
      <c r="C19" s="1047"/>
      <c r="D19" s="1047"/>
      <c r="E19" s="856">
        <f>'Benefícios e Outros Dados'!I8</f>
        <v>60</v>
      </c>
      <c r="F19" s="856"/>
      <c r="G19" s="420"/>
      <c r="H19" s="420"/>
      <c r="I19" s="420"/>
      <c r="J19" s="420"/>
      <c r="K19" s="420"/>
      <c r="L19" s="420"/>
      <c r="M19" s="420"/>
      <c r="N19" s="420"/>
      <c r="O19" s="420"/>
      <c r="P19" s="420"/>
    </row>
    <row r="20" spans="1:16" ht="7.5" customHeight="1">
      <c r="A20" s="421"/>
      <c r="B20" s="421"/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</row>
    <row r="21" spans="1:16" ht="6.75" customHeight="1">
      <c r="A21" s="978"/>
      <c r="B21" s="978"/>
      <c r="C21" s="978"/>
      <c r="D21" s="978"/>
      <c r="E21" s="978"/>
      <c r="F21" s="978"/>
      <c r="G21" s="978"/>
      <c r="H21" s="978"/>
      <c r="I21" s="354"/>
      <c r="J21" s="354"/>
    </row>
    <row r="22" spans="1:16" ht="21.65" customHeight="1">
      <c r="A22" s="769" t="s">
        <v>68</v>
      </c>
      <c r="B22" s="769"/>
      <c r="C22" s="769"/>
      <c r="D22" s="769"/>
      <c r="E22" s="769"/>
      <c r="F22" s="769"/>
      <c r="G22" s="769"/>
      <c r="H22" s="769"/>
      <c r="I22" s="485"/>
      <c r="J22" s="485"/>
    </row>
    <row r="23" spans="1:16" ht="45.65" customHeight="1">
      <c r="A23" s="985"/>
      <c r="B23" s="986"/>
      <c r="C23" s="986"/>
      <c r="D23" s="986"/>
      <c r="E23" s="986"/>
      <c r="F23" s="963" t="s">
        <v>69</v>
      </c>
      <c r="G23" s="487" t="s">
        <v>495</v>
      </c>
      <c r="H23" s="487" t="s">
        <v>123</v>
      </c>
      <c r="I23" s="485"/>
      <c r="J23" s="485"/>
    </row>
    <row r="24" spans="1:16" ht="19.5" customHeight="1">
      <c r="A24" s="987"/>
      <c r="B24" s="988"/>
      <c r="C24" s="988"/>
      <c r="D24" s="988"/>
      <c r="E24" s="988"/>
      <c r="F24" s="964"/>
      <c r="G24" s="677" t="s">
        <v>14</v>
      </c>
      <c r="H24" s="677" t="s">
        <v>14</v>
      </c>
      <c r="I24" s="485"/>
      <c r="J24" s="189"/>
    </row>
    <row r="25" spans="1:16" ht="18" customHeight="1">
      <c r="A25" s="371" t="s">
        <v>4</v>
      </c>
      <c r="B25" s="737" t="s">
        <v>15</v>
      </c>
      <c r="C25" s="738"/>
      <c r="D25" s="738"/>
      <c r="E25" s="738"/>
      <c r="F25" s="370"/>
      <c r="G25" s="529">
        <f>G16*30/44</f>
        <v>1180.06</v>
      </c>
      <c r="H25" s="472">
        <f>H16</f>
        <v>1730.75</v>
      </c>
      <c r="I25" s="202"/>
      <c r="J25" s="492"/>
    </row>
    <row r="26" spans="1:16" ht="18" customHeight="1">
      <c r="A26" s="371" t="s">
        <v>5</v>
      </c>
      <c r="B26" s="1002" t="s">
        <v>70</v>
      </c>
      <c r="C26" s="1003"/>
      <c r="D26" s="1003"/>
      <c r="E26" s="1003"/>
      <c r="F26" s="708"/>
      <c r="G26" s="709"/>
      <c r="H26" s="710"/>
      <c r="I26" s="202"/>
      <c r="J26" s="492"/>
    </row>
    <row r="27" spans="1:16" ht="18" customHeight="1">
      <c r="A27" s="371" t="s">
        <v>6</v>
      </c>
      <c r="B27" s="972" t="s">
        <v>70</v>
      </c>
      <c r="C27" s="973"/>
      <c r="D27" s="973"/>
      <c r="E27" s="973"/>
      <c r="F27" s="711"/>
      <c r="G27" s="709"/>
      <c r="H27" s="710"/>
      <c r="I27" s="202"/>
      <c r="J27" s="492"/>
    </row>
    <row r="28" spans="1:16" ht="22" customHeight="1">
      <c r="A28" s="989" t="s">
        <v>71</v>
      </c>
      <c r="B28" s="990"/>
      <c r="C28" s="990"/>
      <c r="D28" s="990"/>
      <c r="E28" s="990"/>
      <c r="F28" s="991"/>
      <c r="G28" s="425">
        <f>ROUND(SUM(G25:G27),2)</f>
        <v>1180.06</v>
      </c>
      <c r="H28" s="425">
        <f>ROUND(SUM(H25:H27),2)</f>
        <v>1730.75</v>
      </c>
      <c r="J28" s="493"/>
    </row>
    <row r="29" spans="1:16" ht="7.5" customHeight="1">
      <c r="A29" s="426"/>
      <c r="B29" s="427"/>
      <c r="C29" s="427"/>
      <c r="D29" s="427"/>
      <c r="E29" s="427"/>
      <c r="F29" s="427"/>
      <c r="G29" s="427"/>
      <c r="H29" s="427"/>
      <c r="I29" s="354"/>
      <c r="J29" s="354"/>
    </row>
    <row r="30" spans="1:16" s="430" customFormat="1" ht="21.65" customHeight="1">
      <c r="A30" s="769" t="s">
        <v>72</v>
      </c>
      <c r="B30" s="769"/>
      <c r="C30" s="769"/>
      <c r="D30" s="769"/>
      <c r="E30" s="769"/>
      <c r="F30" s="769"/>
      <c r="G30" s="769"/>
      <c r="H30" s="769"/>
    </row>
    <row r="31" spans="1:16" s="430" customFormat="1" ht="42.65" customHeight="1">
      <c r="A31" s="431"/>
      <c r="B31" s="432"/>
      <c r="C31" s="432"/>
      <c r="D31" s="432"/>
      <c r="E31" s="432"/>
      <c r="F31" s="433"/>
      <c r="G31" s="487" t="s">
        <v>495</v>
      </c>
      <c r="H31" s="487" t="s">
        <v>123</v>
      </c>
    </row>
    <row r="32" spans="1:16" s="430" customFormat="1" ht="19.5" customHeight="1">
      <c r="A32" s="968" t="s">
        <v>73</v>
      </c>
      <c r="B32" s="968"/>
      <c r="C32" s="968"/>
      <c r="D32" s="968"/>
      <c r="E32" s="968"/>
      <c r="F32" s="969"/>
      <c r="G32" s="969"/>
      <c r="H32" s="969"/>
    </row>
    <row r="33" spans="1:1021" s="437" customFormat="1" ht="19.5" customHeight="1">
      <c r="A33" s="434"/>
      <c r="B33" s="435"/>
      <c r="C33" s="435"/>
      <c r="D33" s="435"/>
      <c r="E33" s="436"/>
      <c r="F33" s="678" t="s">
        <v>16</v>
      </c>
      <c r="G33" s="677" t="s">
        <v>14</v>
      </c>
      <c r="H33" s="677" t="s">
        <v>14</v>
      </c>
      <c r="I33" s="485"/>
      <c r="J33" s="485"/>
      <c r="AMF33" s="180"/>
      <c r="AMG33" s="180"/>
    </row>
    <row r="34" spans="1:1021" ht="19.5" customHeight="1">
      <c r="A34" s="438" t="s">
        <v>4</v>
      </c>
      <c r="B34" s="439" t="s">
        <v>74</v>
      </c>
      <c r="C34" s="440"/>
      <c r="D34" s="440"/>
      <c r="E34" s="441"/>
      <c r="F34" s="204">
        <v>8.3299999999999999E-2</v>
      </c>
      <c r="G34" s="442">
        <f>ROUND($F$34*G28,2)</f>
        <v>98.3</v>
      </c>
      <c r="H34" s="442">
        <f>ROUND($F$34*H28,2)</f>
        <v>144.16999999999999</v>
      </c>
      <c r="I34" s="494"/>
      <c r="J34" s="492"/>
    </row>
    <row r="35" spans="1:1021" ht="19.5" customHeight="1">
      <c r="A35" s="371" t="s">
        <v>5</v>
      </c>
      <c r="B35" s="412" t="s">
        <v>75</v>
      </c>
      <c r="C35" s="384"/>
      <c r="D35" s="384"/>
      <c r="E35" s="370"/>
      <c r="F35" s="443">
        <v>3.0249999999999999E-2</v>
      </c>
      <c r="G35" s="442">
        <f>ROUND($F$35*G28,2)</f>
        <v>35.700000000000003</v>
      </c>
      <c r="H35" s="442">
        <f>ROUND($F$35*H28,2)</f>
        <v>52.36</v>
      </c>
      <c r="I35" s="495"/>
      <c r="J35" s="492"/>
    </row>
    <row r="36" spans="1:1021" ht="19.5" customHeight="1">
      <c r="A36" s="999" t="s">
        <v>76</v>
      </c>
      <c r="B36" s="1000"/>
      <c r="C36" s="1000"/>
      <c r="D36" s="1000"/>
      <c r="E36" s="1001"/>
      <c r="F36" s="444">
        <f>SUM(F34:F35)</f>
        <v>0.11360000000000001</v>
      </c>
      <c r="G36" s="445">
        <f>ROUND(SUM(G34:G35),2)</f>
        <v>134</v>
      </c>
      <c r="H36" s="445">
        <f t="shared" ref="H36" si="0">ROUND(SUM(H34:H35),2)</f>
        <v>196.53</v>
      </c>
      <c r="J36" s="493"/>
    </row>
    <row r="37" spans="1:1021" ht="6.75" customHeight="1">
      <c r="A37" s="446"/>
      <c r="B37" s="447"/>
      <c r="C37" s="447"/>
      <c r="D37" s="447"/>
      <c r="E37" s="447"/>
      <c r="F37" s="447"/>
      <c r="G37" s="447"/>
      <c r="H37" s="447"/>
      <c r="I37" s="391"/>
      <c r="J37" s="391"/>
    </row>
    <row r="38" spans="1:1021" ht="19.5" customHeight="1">
      <c r="A38" s="969" t="s">
        <v>77</v>
      </c>
      <c r="B38" s="969"/>
      <c r="C38" s="969"/>
      <c r="D38" s="969"/>
      <c r="E38" s="969"/>
      <c r="F38" s="969"/>
      <c r="G38" s="969"/>
      <c r="H38" s="969"/>
      <c r="I38" s="496"/>
      <c r="J38" s="496"/>
    </row>
    <row r="39" spans="1:1021" s="437" customFormat="1" ht="19.5" customHeight="1">
      <c r="A39" s="434"/>
      <c r="B39" s="449"/>
      <c r="C39" s="449"/>
      <c r="D39" s="449"/>
      <c r="E39" s="450"/>
      <c r="F39" s="678" t="s">
        <v>16</v>
      </c>
      <c r="G39" s="677" t="s">
        <v>14</v>
      </c>
      <c r="H39" s="677" t="s">
        <v>14</v>
      </c>
      <c r="I39" s="485"/>
      <c r="J39" s="485"/>
      <c r="AMF39" s="180"/>
      <c r="AMG39" s="180"/>
    </row>
    <row r="40" spans="1:1021" ht="19.5" customHeight="1">
      <c r="A40" s="438" t="s">
        <v>4</v>
      </c>
      <c r="B40" s="451" t="s">
        <v>17</v>
      </c>
      <c r="C40" s="192"/>
      <c r="D40" s="192"/>
      <c r="E40" s="452"/>
      <c r="F40" s="204">
        <v>0.2</v>
      </c>
      <c r="G40" s="453">
        <f>ROUND(F40*$G$28,2)</f>
        <v>236.01</v>
      </c>
      <c r="H40" s="453">
        <f>ROUND(F40*$H$28,2)</f>
        <v>346.15</v>
      </c>
      <c r="I40" s="494"/>
      <c r="J40" s="189"/>
    </row>
    <row r="41" spans="1:1021" ht="19.5" customHeight="1">
      <c r="A41" s="371" t="s">
        <v>5</v>
      </c>
      <c r="B41" s="439" t="s">
        <v>18</v>
      </c>
      <c r="C41" s="440"/>
      <c r="D41" s="440"/>
      <c r="E41" s="441"/>
      <c r="F41" s="204">
        <v>2.5000000000000001E-2</v>
      </c>
      <c r="G41" s="453">
        <f t="shared" ref="G41:G47" si="1">ROUND(F41*$G$28,2)</f>
        <v>29.5</v>
      </c>
      <c r="H41" s="453">
        <f t="shared" ref="H41:H47" si="2">ROUND(F41*$H$28,2)</f>
        <v>43.27</v>
      </c>
      <c r="I41" s="494"/>
      <c r="J41" s="492"/>
    </row>
    <row r="42" spans="1:1021" ht="19.5" customHeight="1">
      <c r="A42" s="371" t="s">
        <v>6</v>
      </c>
      <c r="B42" s="982" t="s">
        <v>19</v>
      </c>
      <c r="C42" s="983"/>
      <c r="D42" s="983"/>
      <c r="E42" s="984"/>
      <c r="F42" s="712">
        <v>0.03</v>
      </c>
      <c r="G42" s="453">
        <f t="shared" si="1"/>
        <v>35.4</v>
      </c>
      <c r="H42" s="453">
        <f t="shared" si="2"/>
        <v>51.92</v>
      </c>
      <c r="I42" s="497"/>
      <c r="J42" s="492"/>
    </row>
    <row r="43" spans="1:1021" ht="19.5" customHeight="1">
      <c r="A43" s="371" t="s">
        <v>7</v>
      </c>
      <c r="B43" s="439" t="s">
        <v>20</v>
      </c>
      <c r="C43" s="440"/>
      <c r="D43" s="440"/>
      <c r="E43" s="441"/>
      <c r="F43" s="204">
        <v>1.4999999999999999E-2</v>
      </c>
      <c r="G43" s="453">
        <f t="shared" si="1"/>
        <v>17.7</v>
      </c>
      <c r="H43" s="453">
        <f t="shared" si="2"/>
        <v>25.96</v>
      </c>
      <c r="I43" s="494"/>
      <c r="J43" s="492"/>
    </row>
    <row r="44" spans="1:1021" ht="19.5" customHeight="1">
      <c r="A44" s="371" t="s">
        <v>9</v>
      </c>
      <c r="B44" s="439" t="s">
        <v>21</v>
      </c>
      <c r="C44" s="440"/>
      <c r="D44" s="440"/>
      <c r="E44" s="441"/>
      <c r="F44" s="204">
        <v>0.01</v>
      </c>
      <c r="G44" s="453">
        <f t="shared" si="1"/>
        <v>11.8</v>
      </c>
      <c r="H44" s="453">
        <f t="shared" si="2"/>
        <v>17.309999999999999</v>
      </c>
      <c r="I44" s="494"/>
      <c r="J44" s="492"/>
    </row>
    <row r="45" spans="1:1021" ht="19.5" customHeight="1">
      <c r="A45" s="371" t="s">
        <v>12</v>
      </c>
      <c r="B45" s="439" t="s">
        <v>22</v>
      </c>
      <c r="C45" s="440"/>
      <c r="D45" s="440"/>
      <c r="E45" s="441"/>
      <c r="F45" s="204">
        <v>6.0000000000000001E-3</v>
      </c>
      <c r="G45" s="453">
        <f t="shared" si="1"/>
        <v>7.08</v>
      </c>
      <c r="H45" s="453">
        <f t="shared" si="2"/>
        <v>10.38</v>
      </c>
      <c r="I45" s="494"/>
      <c r="J45" s="492"/>
    </row>
    <row r="46" spans="1:1021" ht="19.5" customHeight="1">
      <c r="A46" s="371" t="s">
        <v>13</v>
      </c>
      <c r="B46" s="439" t="s">
        <v>23</v>
      </c>
      <c r="C46" s="440"/>
      <c r="D46" s="440"/>
      <c r="E46" s="441"/>
      <c r="F46" s="204">
        <v>2E-3</v>
      </c>
      <c r="G46" s="453">
        <f t="shared" si="1"/>
        <v>2.36</v>
      </c>
      <c r="H46" s="453">
        <f t="shared" si="2"/>
        <v>3.46</v>
      </c>
      <c r="I46" s="494"/>
      <c r="J46" s="492"/>
    </row>
    <row r="47" spans="1:1021" ht="19.5" customHeight="1">
      <c r="A47" s="371" t="s">
        <v>24</v>
      </c>
      <c r="B47" s="412" t="s">
        <v>25</v>
      </c>
      <c r="C47" s="384"/>
      <c r="D47" s="384"/>
      <c r="E47" s="370"/>
      <c r="F47" s="204">
        <v>0.08</v>
      </c>
      <c r="G47" s="453">
        <f t="shared" si="1"/>
        <v>94.4</v>
      </c>
      <c r="H47" s="453">
        <f t="shared" si="2"/>
        <v>138.46</v>
      </c>
      <c r="I47" s="494"/>
      <c r="J47" s="492"/>
    </row>
    <row r="48" spans="1:1021" ht="19" customHeight="1">
      <c r="A48" s="969" t="s">
        <v>78</v>
      </c>
      <c r="B48" s="969"/>
      <c r="C48" s="969"/>
      <c r="D48" s="969"/>
      <c r="E48" s="969"/>
      <c r="F48" s="454">
        <f>SUM(F40:F47)</f>
        <v>0.36799999999999999</v>
      </c>
      <c r="G48" s="455">
        <f>ROUND(SUM(G40:G47),2)</f>
        <v>434.25</v>
      </c>
      <c r="H48" s="455">
        <f t="shared" ref="H48" si="3">ROUND(SUM(H40:H47),2)</f>
        <v>636.91</v>
      </c>
      <c r="J48" s="493"/>
    </row>
    <row r="49" spans="1:11" ht="5.25" customHeight="1">
      <c r="A49" s="456"/>
      <c r="B49" s="456"/>
      <c r="C49" s="456"/>
      <c r="D49" s="456"/>
      <c r="E49" s="456"/>
      <c r="F49" s="456"/>
      <c r="G49" s="456"/>
      <c r="H49" s="456"/>
      <c r="I49" s="456"/>
      <c r="J49" s="456"/>
    </row>
    <row r="50" spans="1:11" ht="19.5" customHeight="1">
      <c r="A50" s="968" t="s">
        <v>79</v>
      </c>
      <c r="B50" s="968"/>
      <c r="C50" s="968"/>
      <c r="D50" s="968"/>
      <c r="E50" s="968"/>
      <c r="F50" s="968"/>
      <c r="G50" s="969"/>
      <c r="H50" s="969"/>
      <c r="I50" s="496"/>
      <c r="J50" s="496"/>
      <c r="K50" s="189"/>
    </row>
    <row r="51" spans="1:11" ht="19.5" customHeight="1">
      <c r="A51" s="434"/>
      <c r="B51" s="449"/>
      <c r="C51" s="449"/>
      <c r="D51" s="449"/>
      <c r="E51" s="449"/>
      <c r="F51" s="450"/>
      <c r="G51" s="680" t="s">
        <v>14</v>
      </c>
      <c r="H51" s="677" t="s">
        <v>14</v>
      </c>
      <c r="I51" s="496"/>
      <c r="J51" s="485"/>
      <c r="K51" s="189"/>
    </row>
    <row r="52" spans="1:11" ht="19.5" customHeight="1">
      <c r="A52" s="458" t="s">
        <v>4</v>
      </c>
      <c r="B52" s="754" t="s">
        <v>28</v>
      </c>
      <c r="C52" s="754"/>
      <c r="D52" s="754"/>
      <c r="E52" s="754"/>
      <c r="F52" s="754"/>
      <c r="G52" s="442">
        <f>ROUND(('Benefícios e Outros Dados'!$J$15-'Benefícios e Outros Dados'!$J$16)*'Benefícios e Outros Dados'!$K$12,2)</f>
        <v>472.5</v>
      </c>
      <c r="H52" s="442">
        <f>ROUND(('Benefícios e Outros Dados'!$J$15-'Benefícios e Outros Dados'!$J$16)*'Benefícios e Outros Dados'!$K$12,2)</f>
        <v>472.5</v>
      </c>
      <c r="J52" s="492"/>
      <c r="K52" s="189"/>
    </row>
    <row r="53" spans="1:11" ht="19.5" customHeight="1">
      <c r="A53" s="201" t="s">
        <v>5</v>
      </c>
      <c r="B53" s="997" t="s">
        <v>31</v>
      </c>
      <c r="C53" s="998"/>
      <c r="D53" s="998"/>
      <c r="E53" s="998"/>
      <c r="F53" s="998"/>
      <c r="G53" s="459">
        <f>ROUND(((('Benefícios e Outros Dados'!$J$17*'Benefícios e Outros Dados'!$J$18)+('Benefícios e Outros Dados'!$J$19*'Benefícios e Outros Dados'!$J$20))*'Benefícios e Outros Dados'!$K$12)-(0.06*G25),2)</f>
        <v>336.6</v>
      </c>
      <c r="H53" s="459">
        <f>ROUND(((('Benefícios e Outros Dados'!$J$17*'Benefícios e Outros Dados'!$J$18)+('Benefícios e Outros Dados'!$J$19*'Benefícios e Outros Dados'!$J$20))*'Benefícios e Outros Dados'!$K$12)-(0.06*H25),2)</f>
        <v>303.56</v>
      </c>
      <c r="I53" s="202"/>
      <c r="J53" s="492"/>
      <c r="K53" s="189"/>
    </row>
    <row r="54" spans="1:11" ht="19.5" customHeight="1">
      <c r="A54" s="201" t="s">
        <v>6</v>
      </c>
      <c r="B54" s="737" t="s">
        <v>33</v>
      </c>
      <c r="C54" s="738"/>
      <c r="D54" s="738"/>
      <c r="E54" s="738"/>
      <c r="F54" s="738"/>
      <c r="G54" s="442">
        <f>'Benefícios e Outros Dados'!$J$21</f>
        <v>21.6</v>
      </c>
      <c r="H54" s="442">
        <f>'Benefícios e Outros Dados'!$J$21</f>
        <v>21.6</v>
      </c>
      <c r="I54" s="202"/>
      <c r="J54" s="492"/>
      <c r="K54" s="189"/>
    </row>
    <row r="55" spans="1:11" ht="19.5" customHeight="1">
      <c r="A55" s="201" t="s">
        <v>7</v>
      </c>
      <c r="B55" s="1075" t="s">
        <v>70</v>
      </c>
      <c r="C55" s="1076"/>
      <c r="D55" s="1076"/>
      <c r="E55" s="1076"/>
      <c r="F55" s="1076"/>
      <c r="G55" s="722"/>
      <c r="H55" s="722"/>
      <c r="I55" s="202"/>
      <c r="J55" s="492"/>
      <c r="K55" s="189"/>
    </row>
    <row r="56" spans="1:11" ht="19.5" customHeight="1">
      <c r="A56" s="201" t="s">
        <v>9</v>
      </c>
      <c r="B56" s="1075" t="s">
        <v>70</v>
      </c>
      <c r="C56" s="1076"/>
      <c r="D56" s="1076"/>
      <c r="E56" s="1076"/>
      <c r="F56" s="1076"/>
      <c r="G56" s="722"/>
      <c r="H56" s="722"/>
      <c r="I56" s="202"/>
      <c r="J56" s="492"/>
      <c r="K56" s="189"/>
    </row>
    <row r="57" spans="1:11" ht="19.5" customHeight="1">
      <c r="A57" s="992" t="s">
        <v>80</v>
      </c>
      <c r="B57" s="993"/>
      <c r="C57" s="993"/>
      <c r="D57" s="993"/>
      <c r="E57" s="993"/>
      <c r="F57" s="994"/>
      <c r="G57" s="460">
        <f>ROUND(SUM(G52:G56),2)</f>
        <v>830.7</v>
      </c>
      <c r="H57" s="460">
        <f t="shared" ref="H57" si="4">ROUND(SUM(H52:H56),2)</f>
        <v>797.66</v>
      </c>
      <c r="I57" s="496"/>
      <c r="J57" s="493"/>
      <c r="K57" s="189"/>
    </row>
    <row r="58" spans="1:11" ht="22" customHeight="1">
      <c r="A58" s="989" t="s">
        <v>81</v>
      </c>
      <c r="B58" s="995"/>
      <c r="C58" s="995"/>
      <c r="D58" s="995"/>
      <c r="E58" s="995"/>
      <c r="F58" s="996"/>
      <c r="G58" s="425">
        <f>ROUND(SUM(G57,G48,G36),2)</f>
        <v>1398.95</v>
      </c>
      <c r="H58" s="425">
        <f t="shared" ref="H58" si="5">ROUND(SUM(H57,H48,H36),2)</f>
        <v>1631.1</v>
      </c>
      <c r="J58" s="498"/>
      <c r="K58" s="189"/>
    </row>
    <row r="59" spans="1:11" ht="6.75" customHeight="1">
      <c r="A59" s="426"/>
      <c r="B59" s="427"/>
      <c r="C59" s="427"/>
      <c r="D59" s="427"/>
      <c r="E59" s="427"/>
      <c r="F59" s="427"/>
      <c r="G59" s="427"/>
      <c r="H59" s="427"/>
      <c r="I59" s="354"/>
      <c r="J59" s="354"/>
      <c r="K59" s="189"/>
    </row>
    <row r="60" spans="1:11" s="430" customFormat="1" ht="21.65" customHeight="1">
      <c r="A60" s="769" t="s">
        <v>82</v>
      </c>
      <c r="B60" s="769"/>
      <c r="C60" s="769"/>
      <c r="D60" s="769"/>
      <c r="E60" s="769"/>
      <c r="F60" s="769"/>
      <c r="G60" s="769"/>
      <c r="H60" s="769"/>
      <c r="I60" s="485"/>
      <c r="J60" s="485"/>
    </row>
    <row r="61" spans="1:11" s="430" customFormat="1" ht="43" customHeight="1">
      <c r="A61" s="849"/>
      <c r="B61" s="849"/>
      <c r="C61" s="849"/>
      <c r="D61" s="849"/>
      <c r="E61" s="849"/>
      <c r="F61" s="849"/>
      <c r="G61" s="487" t="s">
        <v>495</v>
      </c>
      <c r="H61" s="487" t="s">
        <v>123</v>
      </c>
      <c r="I61" s="499"/>
      <c r="J61" s="499"/>
    </row>
    <row r="62" spans="1:11" s="430" customFormat="1" ht="19.5" customHeight="1">
      <c r="A62" s="849"/>
      <c r="B62" s="849"/>
      <c r="C62" s="849"/>
      <c r="D62" s="849"/>
      <c r="E62" s="849"/>
      <c r="F62" s="849"/>
      <c r="G62" s="678" t="s">
        <v>14</v>
      </c>
      <c r="H62" s="677" t="s">
        <v>14</v>
      </c>
      <c r="I62" s="500"/>
      <c r="J62" s="500"/>
    </row>
    <row r="63" spans="1:11" ht="19.5" customHeight="1">
      <c r="A63" s="1012" t="s">
        <v>4</v>
      </c>
      <c r="B63" s="1013" t="s">
        <v>35</v>
      </c>
      <c r="C63" s="1014"/>
      <c r="D63" s="1014"/>
      <c r="E63" s="1014"/>
      <c r="F63" s="1015"/>
      <c r="G63" s="1016">
        <f>ROUND(((G28+G34+G35+G101)/12)*(30/30)*$E$64,2)</f>
        <v>6.57</v>
      </c>
      <c r="H63" s="1016">
        <f>ROUND(((H28+H34+H35+H101)/12)*(30/30)*$E$64,2)</f>
        <v>9.64</v>
      </c>
      <c r="I63" s="1071"/>
      <c r="J63" s="1071"/>
    </row>
    <row r="64" spans="1:11" ht="66.650000000000006" customHeight="1">
      <c r="A64" s="787"/>
      <c r="B64" s="1004" t="s">
        <v>496</v>
      </c>
      <c r="C64" s="1004"/>
      <c r="D64" s="1004"/>
      <c r="E64" s="1011">
        <v>5.5500000000000001E-2</v>
      </c>
      <c r="F64" s="1011"/>
      <c r="G64" s="1016"/>
      <c r="H64" s="1016"/>
      <c r="I64" s="1071"/>
      <c r="J64" s="1071"/>
    </row>
    <row r="65" spans="1:11" ht="19.5" customHeight="1">
      <c r="A65" s="201" t="s">
        <v>5</v>
      </c>
      <c r="B65" s="412" t="s">
        <v>83</v>
      </c>
      <c r="C65" s="384"/>
      <c r="D65" s="384"/>
      <c r="E65" s="384"/>
      <c r="F65" s="384"/>
      <c r="G65" s="442">
        <f>ROUND(G63*0.08,2)</f>
        <v>0.53</v>
      </c>
      <c r="H65" s="442">
        <f>ROUND(H63*0.08,2)</f>
        <v>0.77</v>
      </c>
      <c r="J65" s="501"/>
    </row>
    <row r="66" spans="1:11" ht="37" customHeight="1">
      <c r="A66" s="201" t="s">
        <v>6</v>
      </c>
      <c r="B66" s="1004" t="s">
        <v>497</v>
      </c>
      <c r="C66" s="1004"/>
      <c r="D66" s="1004"/>
      <c r="E66" s="1004"/>
      <c r="F66" s="1004"/>
      <c r="G66" s="442">
        <f>ROUND((((G28+G34+G35+G101)/30)/12)*7*1,2)</f>
        <v>27.63</v>
      </c>
      <c r="H66" s="442">
        <f t="shared" ref="H66" si="6">ROUND((((H28+H34+H35+H101)/30)/12)*7*1,2)</f>
        <v>40.53</v>
      </c>
      <c r="J66" s="501"/>
    </row>
    <row r="67" spans="1:11" ht="19.5" customHeight="1">
      <c r="A67" s="201" t="s">
        <v>7</v>
      </c>
      <c r="B67" s="1005" t="s">
        <v>84</v>
      </c>
      <c r="C67" s="1006"/>
      <c r="D67" s="1006"/>
      <c r="E67" s="1006"/>
      <c r="F67" s="1007"/>
      <c r="G67" s="442">
        <f>ROUND($F$48*G66,2)</f>
        <v>10.17</v>
      </c>
      <c r="H67" s="442">
        <f>ROUND($F$48*H66,2)</f>
        <v>14.92</v>
      </c>
      <c r="I67" s="501"/>
      <c r="J67" s="501"/>
    </row>
    <row r="68" spans="1:11" ht="19.5" customHeight="1">
      <c r="A68" s="201" t="s">
        <v>9</v>
      </c>
      <c r="B68" s="1005" t="s">
        <v>85</v>
      </c>
      <c r="C68" s="1006"/>
      <c r="D68" s="1006"/>
      <c r="E68" s="1006"/>
      <c r="F68" s="1007"/>
      <c r="G68" s="442">
        <f>ROUND(0.04*G28,2)</f>
        <v>47.2</v>
      </c>
      <c r="H68" s="442">
        <f t="shared" ref="H68" si="7">ROUND(0.04*H28,2)</f>
        <v>69.23</v>
      </c>
      <c r="I68" s="501"/>
      <c r="J68" s="501"/>
    </row>
    <row r="69" spans="1:11" ht="21.75" customHeight="1">
      <c r="A69" s="1008" t="s">
        <v>86</v>
      </c>
      <c r="B69" s="1009"/>
      <c r="C69" s="1009"/>
      <c r="D69" s="1009"/>
      <c r="E69" s="1009"/>
      <c r="F69" s="1010"/>
      <c r="G69" s="425">
        <f>ROUND(SUM(G63:G68),2)</f>
        <v>92.1</v>
      </c>
      <c r="H69" s="425">
        <f>ROUND(SUM(H63:H68),2)</f>
        <v>135.09</v>
      </c>
      <c r="J69" s="502"/>
      <c r="K69" s="430"/>
    </row>
    <row r="70" spans="1:11" ht="6.75" customHeight="1">
      <c r="A70" s="461"/>
      <c r="B70" s="462"/>
      <c r="C70" s="462"/>
      <c r="D70" s="462"/>
      <c r="E70" s="462"/>
      <c r="F70" s="462"/>
      <c r="G70" s="462"/>
      <c r="H70" s="462"/>
      <c r="I70" s="503"/>
      <c r="J70" s="503"/>
    </row>
    <row r="71" spans="1:11" ht="21.65" customHeight="1">
      <c r="A71" s="769" t="s">
        <v>87</v>
      </c>
      <c r="B71" s="769"/>
      <c r="C71" s="769"/>
      <c r="D71" s="769"/>
      <c r="E71" s="769"/>
      <c r="F71" s="769"/>
      <c r="G71" s="769"/>
      <c r="H71" s="769"/>
      <c r="I71" s="485"/>
      <c r="J71" s="485"/>
      <c r="K71" s="430"/>
    </row>
    <row r="72" spans="1:11" s="430" customFormat="1" ht="43" customHeight="1">
      <c r="A72" s="1021"/>
      <c r="B72" s="1022"/>
      <c r="C72" s="1022"/>
      <c r="D72" s="1022"/>
      <c r="E72" s="1022"/>
      <c r="F72" s="1023"/>
      <c r="G72" s="487" t="s">
        <v>495</v>
      </c>
      <c r="H72" s="487" t="s">
        <v>123</v>
      </c>
      <c r="I72" s="499"/>
      <c r="J72" s="499"/>
    </row>
    <row r="73" spans="1:11" ht="19.5" customHeight="1">
      <c r="A73" s="1024"/>
      <c r="B73" s="1025"/>
      <c r="C73" s="1025"/>
      <c r="D73" s="1025"/>
      <c r="E73" s="1025"/>
      <c r="F73" s="1026"/>
      <c r="G73" s="679" t="s">
        <v>14</v>
      </c>
      <c r="H73" s="677" t="s">
        <v>14</v>
      </c>
      <c r="J73" s="500"/>
    </row>
    <row r="74" spans="1:11" ht="41" customHeight="1">
      <c r="A74" s="1012" t="s">
        <v>4</v>
      </c>
      <c r="B74" s="1019" t="s">
        <v>191</v>
      </c>
      <c r="C74" s="184" t="s">
        <v>192</v>
      </c>
      <c r="D74" s="229" t="s">
        <v>322</v>
      </c>
      <c r="E74" s="184" t="s">
        <v>194</v>
      </c>
      <c r="F74" s="229" t="s">
        <v>494</v>
      </c>
      <c r="G74" s="1017">
        <f>ROUND(((($G$28+$G$58-$G$52-$G$53+$G$69)/30)*F75)/$E$19,2)</f>
        <v>5.17</v>
      </c>
      <c r="H74" s="1017">
        <f>ROUND(((($H$28+$H$58-$H$52-$H$53+$H$69)/30)*F75)/$E$19,2)</f>
        <v>7.56</v>
      </c>
      <c r="I74" s="1072"/>
      <c r="J74" s="1071"/>
    </row>
    <row r="75" spans="1:11" ht="19.5" customHeight="1">
      <c r="A75" s="787"/>
      <c r="B75" s="1020"/>
      <c r="C75" s="713">
        <v>1</v>
      </c>
      <c r="D75" s="184">
        <f>ROUND((1*E19)/12,2)</f>
        <v>5</v>
      </c>
      <c r="E75" s="463">
        <v>1</v>
      </c>
      <c r="F75" s="184">
        <f>C75*D75*E75</f>
        <v>5</v>
      </c>
      <c r="G75" s="1018"/>
      <c r="H75" s="1018"/>
      <c r="I75" s="1072"/>
      <c r="J75" s="1071"/>
    </row>
    <row r="76" spans="1:11" ht="41.5" customHeight="1">
      <c r="A76" s="1012" t="s">
        <v>5</v>
      </c>
      <c r="B76" s="1019" t="s">
        <v>196</v>
      </c>
      <c r="C76" s="184" t="s">
        <v>192</v>
      </c>
      <c r="D76" s="229" t="s">
        <v>322</v>
      </c>
      <c r="E76" s="184" t="s">
        <v>194</v>
      </c>
      <c r="F76" s="229" t="s">
        <v>494</v>
      </c>
      <c r="G76" s="1017">
        <f t="shared" ref="G76" si="8">ROUND(((($G$28+$G$58-$G$52-$G$53+$G$69)/30)*F77)/$E$19,2)</f>
        <v>4.9400000000000004</v>
      </c>
      <c r="H76" s="1017">
        <f t="shared" ref="H76" si="9">ROUND(((($H$28+$H$58-$H$52-$H$53+$H$69)/30)*F77)/$E$19,2)</f>
        <v>7.22</v>
      </c>
      <c r="I76" s="1072"/>
      <c r="J76" s="1071"/>
    </row>
    <row r="77" spans="1:11" ht="19.5" customHeight="1">
      <c r="A77" s="787"/>
      <c r="B77" s="1020"/>
      <c r="C77" s="713">
        <v>9.2200000000000004E-2</v>
      </c>
      <c r="D77" s="184">
        <f>ROUND((15*E19)/12,2)</f>
        <v>75</v>
      </c>
      <c r="E77" s="463">
        <f>ROUND((252/365),4)</f>
        <v>0.69040000000000001</v>
      </c>
      <c r="F77" s="184">
        <f>ROUND(C77*D77*E77,4)</f>
        <v>4.7740999999999998</v>
      </c>
      <c r="G77" s="1018"/>
      <c r="H77" s="1018"/>
      <c r="I77" s="1072"/>
      <c r="J77" s="1071"/>
    </row>
    <row r="78" spans="1:11" ht="41.5" customHeight="1">
      <c r="A78" s="1012" t="s">
        <v>6</v>
      </c>
      <c r="B78" s="1019" t="s">
        <v>197</v>
      </c>
      <c r="C78" s="184" t="s">
        <v>192</v>
      </c>
      <c r="D78" s="229" t="s">
        <v>322</v>
      </c>
      <c r="E78" s="184" t="s">
        <v>194</v>
      </c>
      <c r="F78" s="229" t="s">
        <v>494</v>
      </c>
      <c r="G78" s="1017">
        <f t="shared" ref="G78" si="10">ROUND(((($G$28+$G$58-$G$52-$G$53+$G$69)/30)*F79)/$E$19,2)</f>
        <v>17.850000000000001</v>
      </c>
      <c r="H78" s="1017">
        <f t="shared" ref="H78" si="11">ROUND(((($H$28+$H$58-$H$52-$H$53+$H$69)/30)*F79)/$E$19,2)</f>
        <v>26.09</v>
      </c>
      <c r="I78" s="1072"/>
      <c r="J78" s="1071"/>
    </row>
    <row r="79" spans="1:11" ht="19.5" customHeight="1">
      <c r="A79" s="787"/>
      <c r="B79" s="1020"/>
      <c r="C79" s="713">
        <v>1</v>
      </c>
      <c r="D79" s="184">
        <f>ROUND((5*E19)/12,2)</f>
        <v>25</v>
      </c>
      <c r="E79" s="463">
        <f>ROUND((252/365),4)</f>
        <v>0.69040000000000001</v>
      </c>
      <c r="F79" s="184">
        <f>ROUND(C79*D79*E79,4)</f>
        <v>17.260000000000002</v>
      </c>
      <c r="G79" s="1018"/>
      <c r="H79" s="1018"/>
      <c r="I79" s="1072"/>
      <c r="J79" s="1071"/>
    </row>
    <row r="80" spans="1:11" ht="41" customHeight="1">
      <c r="A80" s="1012" t="s">
        <v>7</v>
      </c>
      <c r="B80" s="1019" t="s">
        <v>198</v>
      </c>
      <c r="C80" s="184" t="s">
        <v>192</v>
      </c>
      <c r="D80" s="229" t="s">
        <v>322</v>
      </c>
      <c r="E80" s="184" t="s">
        <v>194</v>
      </c>
      <c r="F80" s="229" t="s">
        <v>494</v>
      </c>
      <c r="G80" s="1017">
        <f t="shared" ref="G80" si="12">ROUND(((($G$28+$G$58-$G$52-$G$53+$G$69)/30)*F81)/$E$19,2)</f>
        <v>1.39</v>
      </c>
      <c r="H80" s="1017">
        <f t="shared" ref="H80" si="13">ROUND(((($H$28+$H$58-$H$52-$H$53+$H$69)/30)*F81)/$E$19,2)</f>
        <v>2.0299999999999998</v>
      </c>
      <c r="J80" s="1071"/>
    </row>
    <row r="81" spans="1:12" ht="19.5" customHeight="1">
      <c r="A81" s="787"/>
      <c r="B81" s="1020"/>
      <c r="C81" s="714">
        <v>0.13439999999999999</v>
      </c>
      <c r="D81" s="184">
        <f>ROUND((2*E19)/12,2)</f>
        <v>10</v>
      </c>
      <c r="E81" s="463">
        <v>1</v>
      </c>
      <c r="F81" s="184">
        <f>ROUND(C81*D81*E81,4)</f>
        <v>1.3440000000000001</v>
      </c>
      <c r="G81" s="1018"/>
      <c r="H81" s="1018"/>
      <c r="I81" s="504"/>
      <c r="J81" s="1071"/>
    </row>
    <row r="82" spans="1:12" ht="41" customHeight="1">
      <c r="A82" s="1012" t="s">
        <v>9</v>
      </c>
      <c r="B82" s="1019" t="s">
        <v>199</v>
      </c>
      <c r="C82" s="184" t="s">
        <v>192</v>
      </c>
      <c r="D82" s="229" t="s">
        <v>322</v>
      </c>
      <c r="E82" s="184" t="s">
        <v>194</v>
      </c>
      <c r="F82" s="229" t="s">
        <v>494</v>
      </c>
      <c r="G82" s="1017">
        <f t="shared" ref="G82" si="14">ROUND(((($G$28+$G$58-$G$52-$G$53+$G$69)/30)*F83)/$E$19,2)</f>
        <v>0.22</v>
      </c>
      <c r="H82" s="1017">
        <f t="shared" ref="H82" si="15">ROUND(((($H$28+$H$58-$H$52-$H$53+$H$69)/30)*F83)/$E$19,2)</f>
        <v>0.32</v>
      </c>
      <c r="I82" s="1072"/>
      <c r="J82" s="1071"/>
    </row>
    <row r="83" spans="1:12" ht="19.5" customHeight="1">
      <c r="A83" s="787"/>
      <c r="B83" s="1020"/>
      <c r="C83" s="714">
        <v>3.0499999999999999E-2</v>
      </c>
      <c r="D83" s="184">
        <f>ROUND((2*E19)/12,2)</f>
        <v>10</v>
      </c>
      <c r="E83" s="463">
        <f>ROUND((252/365),4)</f>
        <v>0.69040000000000001</v>
      </c>
      <c r="F83" s="184">
        <f>ROUND(C83*D83*E83,4)</f>
        <v>0.21060000000000001</v>
      </c>
      <c r="G83" s="1018"/>
      <c r="H83" s="1018"/>
      <c r="I83" s="1072"/>
      <c r="J83" s="1071"/>
    </row>
    <row r="84" spans="1:12" ht="41" customHeight="1">
      <c r="A84" s="1012" t="s">
        <v>12</v>
      </c>
      <c r="B84" s="1019" t="s">
        <v>200</v>
      </c>
      <c r="C84" s="184" t="s">
        <v>192</v>
      </c>
      <c r="D84" s="229" t="s">
        <v>322</v>
      </c>
      <c r="E84" s="184" t="s">
        <v>194</v>
      </c>
      <c r="F84" s="229" t="s">
        <v>494</v>
      </c>
      <c r="G84" s="1017">
        <f t="shared" ref="G84" si="16">ROUND(((($G$28+$G$58-$G$52-$G$53+$G$69)/30)*F85)/$E$19,2)</f>
        <v>0.18</v>
      </c>
      <c r="H84" s="1017">
        <f t="shared" ref="H84" si="17">ROUND(((($H$28+$H$58-$H$52-$H$53+$H$69)/30)*F85)/$E$19,2)</f>
        <v>0.27</v>
      </c>
      <c r="I84" s="1072"/>
      <c r="J84" s="1071"/>
    </row>
    <row r="85" spans="1:12" ht="19.5" customHeight="1">
      <c r="A85" s="787"/>
      <c r="B85" s="1020"/>
      <c r="C85" s="714">
        <v>1.18E-2</v>
      </c>
      <c r="D85" s="184">
        <f>ROUND((3*E19)/12,2)</f>
        <v>15</v>
      </c>
      <c r="E85" s="463">
        <v>1</v>
      </c>
      <c r="F85" s="184">
        <f>ROUND(C85*D85*E85,4)</f>
        <v>0.17699999999999999</v>
      </c>
      <c r="G85" s="1018"/>
      <c r="H85" s="1018"/>
      <c r="I85" s="1072"/>
      <c r="J85" s="1071"/>
    </row>
    <row r="86" spans="1:12" ht="40.5" customHeight="1">
      <c r="A86" s="1012" t="s">
        <v>13</v>
      </c>
      <c r="B86" s="1019" t="s">
        <v>201</v>
      </c>
      <c r="C86" s="184" t="s">
        <v>192</v>
      </c>
      <c r="D86" s="229" t="s">
        <v>322</v>
      </c>
      <c r="E86" s="184" t="s">
        <v>194</v>
      </c>
      <c r="F86" s="229" t="s">
        <v>494</v>
      </c>
      <c r="G86" s="1017">
        <f t="shared" ref="G86" si="18">ROUND(((($G$28+$G$58-$G$52-$G$53+$G$69)/30)*F87)/$E$19,2)</f>
        <v>0.1</v>
      </c>
      <c r="H86" s="1017">
        <f t="shared" ref="H86" si="19">ROUND(((($H$28+$H$58-$H$52-$H$53+$H$69)/30)*F87)/$E$19,2)</f>
        <v>0.15</v>
      </c>
      <c r="J86" s="1071"/>
    </row>
    <row r="87" spans="1:12" ht="19.5" customHeight="1">
      <c r="A87" s="787"/>
      <c r="B87" s="1020"/>
      <c r="C87" s="714">
        <v>0.02</v>
      </c>
      <c r="D87" s="184">
        <f>ROUND((1*E19)/12,2)</f>
        <v>5</v>
      </c>
      <c r="E87" s="463">
        <v>1</v>
      </c>
      <c r="F87" s="184">
        <f>ROUND(C87*D87*E87,4)</f>
        <v>0.1</v>
      </c>
      <c r="G87" s="1018"/>
      <c r="H87" s="1018"/>
      <c r="I87" s="504"/>
      <c r="J87" s="1071"/>
    </row>
    <row r="88" spans="1:12" ht="41" customHeight="1">
      <c r="A88" s="1012" t="s">
        <v>24</v>
      </c>
      <c r="B88" s="1019" t="s">
        <v>202</v>
      </c>
      <c r="C88" s="184" t="s">
        <v>192</v>
      </c>
      <c r="D88" s="229" t="s">
        <v>322</v>
      </c>
      <c r="E88" s="184" t="s">
        <v>194</v>
      </c>
      <c r="F88" s="229" t="s">
        <v>494</v>
      </c>
      <c r="G88" s="1017">
        <f t="shared" ref="G88" si="20">ROUND(((($G$28+$G$58-$G$52-$G$53+$G$69)/30)*F89)/$E$19,2)</f>
        <v>0.02</v>
      </c>
      <c r="H88" s="1017">
        <f t="shared" ref="H88" si="21">ROUND(((($H$28+$H$58-$H$52-$H$53+$H$69)/30)*F89)/$E$19,2)</f>
        <v>0.03</v>
      </c>
      <c r="I88" s="1072"/>
      <c r="J88" s="1071"/>
    </row>
    <row r="89" spans="1:12" ht="19.5" customHeight="1">
      <c r="A89" s="787"/>
      <c r="B89" s="1020"/>
      <c r="C89" s="714">
        <v>4.0000000000000001E-3</v>
      </c>
      <c r="D89" s="184">
        <f>ROUND((1*E19)/12,2)</f>
        <v>5</v>
      </c>
      <c r="E89" s="463">
        <v>1</v>
      </c>
      <c r="F89" s="184">
        <f>ROUND(C89*D89*E89,4)</f>
        <v>0.02</v>
      </c>
      <c r="G89" s="1018"/>
      <c r="H89" s="1018"/>
      <c r="I89" s="1072"/>
      <c r="J89" s="1071"/>
    </row>
    <row r="90" spans="1:12" ht="42.5" customHeight="1">
      <c r="A90" s="1012" t="s">
        <v>67</v>
      </c>
      <c r="B90" s="1019" t="s">
        <v>203</v>
      </c>
      <c r="C90" s="184" t="s">
        <v>192</v>
      </c>
      <c r="D90" s="229" t="s">
        <v>322</v>
      </c>
      <c r="E90" s="184" t="s">
        <v>194</v>
      </c>
      <c r="F90" s="229" t="s">
        <v>494</v>
      </c>
      <c r="G90" s="1017">
        <f t="shared" ref="G90" si="22">ROUND(((($G$28+$G$58-$G$52-$G$53+$G$69)/30)*F91)/$E$19,2)</f>
        <v>0.26</v>
      </c>
      <c r="H90" s="1017">
        <f t="shared" ref="H90" si="23">ROUND(((($H$28+$H$58-$H$52-$H$53+$H$69)/30)*F91)/$E$19,2)</f>
        <v>0.37</v>
      </c>
      <c r="J90" s="1071"/>
    </row>
    <row r="91" spans="1:12" ht="19.5" customHeight="1">
      <c r="A91" s="787"/>
      <c r="B91" s="1020"/>
      <c r="C91" s="713">
        <v>1.43E-2</v>
      </c>
      <c r="D91" s="184">
        <f>ROUND((5*E19)/12,2)</f>
        <v>25</v>
      </c>
      <c r="E91" s="463">
        <f>ROUND((252/365),4)</f>
        <v>0.69040000000000001</v>
      </c>
      <c r="F91" s="184">
        <f>ROUND(C91*D91*E91,4)</f>
        <v>0.24679999999999999</v>
      </c>
      <c r="G91" s="1018"/>
      <c r="H91" s="1018"/>
      <c r="I91" s="504"/>
      <c r="J91" s="1071"/>
    </row>
    <row r="92" spans="1:12" ht="41.5" customHeight="1">
      <c r="A92" s="1012" t="s">
        <v>204</v>
      </c>
      <c r="B92" s="1019" t="s">
        <v>205</v>
      </c>
      <c r="C92" s="184" t="s">
        <v>192</v>
      </c>
      <c r="D92" s="229" t="s">
        <v>322</v>
      </c>
      <c r="E92" s="184" t="s">
        <v>194</v>
      </c>
      <c r="F92" s="229" t="s">
        <v>494</v>
      </c>
      <c r="G92" s="1017">
        <f t="shared" ref="G92" si="24">ROUND(((($G$28+$G$58-$G$52-$G$53+$G$69)/30)*F93)/$E$19,2)</f>
        <v>8.44</v>
      </c>
      <c r="H92" s="1017">
        <f t="shared" ref="H92" si="25">ROUND(((($H$28+$H$58-$H$52-$H$53+$H$69)/30)*F93)/$E$19,2)</f>
        <v>12.34</v>
      </c>
      <c r="I92" s="1072"/>
      <c r="J92" s="1071"/>
    </row>
    <row r="93" spans="1:12" ht="19.5" customHeight="1">
      <c r="A93" s="787"/>
      <c r="B93" s="1020"/>
      <c r="C93" s="713">
        <v>1.9699999999999999E-2</v>
      </c>
      <c r="D93" s="184">
        <f>ROUND((120*E19)/12,2)</f>
        <v>600</v>
      </c>
      <c r="E93" s="463">
        <f>ROUND((252/365),4)</f>
        <v>0.69040000000000001</v>
      </c>
      <c r="F93" s="184">
        <f>ROUND(C93*D93*E93,4)</f>
        <v>8.1605000000000008</v>
      </c>
      <c r="G93" s="1018"/>
      <c r="H93" s="1018"/>
      <c r="I93" s="1072"/>
      <c r="J93" s="1071"/>
    </row>
    <row r="94" spans="1:12" ht="40" customHeight="1">
      <c r="A94" s="755" t="s">
        <v>206</v>
      </c>
      <c r="B94" s="1019" t="s">
        <v>207</v>
      </c>
      <c r="C94" s="184" t="s">
        <v>192</v>
      </c>
      <c r="D94" s="229" t="s">
        <v>322</v>
      </c>
      <c r="E94" s="184" t="s">
        <v>194</v>
      </c>
      <c r="F94" s="229" t="s">
        <v>494</v>
      </c>
      <c r="G94" s="1017">
        <f t="shared" ref="G94" si="26">ROUND(((($G$28+$G$58-$G$52-$G$53+$G$69)/30)*F95)/$E$19,2)</f>
        <v>0.05</v>
      </c>
      <c r="H94" s="1017">
        <f t="shared" ref="H94" si="27">ROUND(((($H$28+$H$58-$H$52-$H$53+$H$69)/30)*F95)/$E$19,2)</f>
        <v>7.0000000000000007E-2</v>
      </c>
      <c r="J94" s="1071"/>
    </row>
    <row r="95" spans="1:12" ht="19.5" customHeight="1">
      <c r="A95" s="755"/>
      <c r="B95" s="1020"/>
      <c r="C95" s="714">
        <v>1.6000000000000001E-3</v>
      </c>
      <c r="D95" s="184">
        <f>ROUND((6*E19)/12,2)</f>
        <v>30</v>
      </c>
      <c r="E95" s="463">
        <v>1</v>
      </c>
      <c r="F95" s="184">
        <f>ROUND(C95*D95*E95,4)</f>
        <v>4.8000000000000001E-2</v>
      </c>
      <c r="G95" s="1018"/>
      <c r="H95" s="1018"/>
      <c r="I95" s="504"/>
      <c r="J95" s="1071"/>
      <c r="K95" s="430"/>
    </row>
    <row r="96" spans="1:12" ht="44" customHeight="1">
      <c r="A96" s="1012" t="s">
        <v>208</v>
      </c>
      <c r="B96" s="1069" t="s">
        <v>287</v>
      </c>
      <c r="C96" s="184" t="s">
        <v>192</v>
      </c>
      <c r="D96" s="229" t="s">
        <v>322</v>
      </c>
      <c r="E96" s="184" t="s">
        <v>194</v>
      </c>
      <c r="F96" s="229" t="s">
        <v>494</v>
      </c>
      <c r="G96" s="1017">
        <f t="shared" ref="G96" si="28">ROUND(((($G$28+$G$58-$G$52-$G$53+$G$69)/30)*F97)/$E$19,2)</f>
        <v>7.0000000000000007E-2</v>
      </c>
      <c r="H96" s="1017">
        <f t="shared" ref="H96" si="29">ROUND(((($H$28+$H$58-$H$52-$H$53+$H$69)/30)*F97)/$E$19,2)</f>
        <v>0.1</v>
      </c>
      <c r="I96" s="1073"/>
      <c r="J96" s="1074"/>
      <c r="K96" s="505"/>
      <c r="L96" s="430"/>
    </row>
    <row r="97" spans="1:12" ht="19.5" customHeight="1">
      <c r="A97" s="787"/>
      <c r="B97" s="1070"/>
      <c r="C97" s="714">
        <v>0.01</v>
      </c>
      <c r="D97" s="184">
        <f>ROUND((2*E19)/12,2)</f>
        <v>10</v>
      </c>
      <c r="E97" s="463">
        <f>ROUND((252/365),4)</f>
        <v>0.69040000000000001</v>
      </c>
      <c r="F97" s="184">
        <f>ROUND(C97*D97*E97,4)</f>
        <v>6.9000000000000006E-2</v>
      </c>
      <c r="G97" s="1018"/>
      <c r="H97" s="1018"/>
      <c r="I97" s="1073"/>
      <c r="J97" s="1074"/>
      <c r="K97" s="505"/>
      <c r="L97" s="430"/>
    </row>
    <row r="98" spans="1:12" ht="19.5" customHeight="1">
      <c r="A98" s="458" t="s">
        <v>288</v>
      </c>
      <c r="B98" s="715" t="s">
        <v>209</v>
      </c>
      <c r="C98" s="716"/>
      <c r="D98" s="716"/>
      <c r="E98" s="716"/>
      <c r="F98" s="716"/>
      <c r="G98" s="710"/>
      <c r="H98" s="710"/>
      <c r="I98" s="501"/>
      <c r="J98" s="501"/>
    </row>
    <row r="99" spans="1:12" ht="19.5" customHeight="1">
      <c r="A99" s="1044" t="s">
        <v>88</v>
      </c>
      <c r="B99" s="1045"/>
      <c r="C99" s="1045"/>
      <c r="D99" s="1045"/>
      <c r="E99" s="1045"/>
      <c r="F99" s="1046"/>
      <c r="G99" s="464">
        <f>SUM(G74:G98)</f>
        <v>38.69</v>
      </c>
      <c r="H99" s="464">
        <f t="shared" ref="H99" si="30">SUM(H74:H98)</f>
        <v>56.55</v>
      </c>
      <c r="I99" s="200"/>
      <c r="J99" s="506"/>
      <c r="K99" s="430"/>
    </row>
    <row r="100" spans="1:12" ht="19.5" customHeight="1">
      <c r="A100" s="458" t="s">
        <v>211</v>
      </c>
      <c r="B100" s="412" t="s">
        <v>89</v>
      </c>
      <c r="C100" s="384"/>
      <c r="D100" s="384"/>
      <c r="E100" s="384"/>
      <c r="F100" s="384"/>
      <c r="G100" s="442">
        <f>ROUND($F$48*(G99-G92),2)</f>
        <v>11.13</v>
      </c>
      <c r="H100" s="442">
        <f>ROUND($F$48*(H99-H92),2)</f>
        <v>16.27</v>
      </c>
      <c r="I100" s="501"/>
      <c r="J100" s="501"/>
      <c r="K100" s="430"/>
    </row>
    <row r="101" spans="1:12" ht="18.75" customHeight="1">
      <c r="A101" s="458" t="s">
        <v>212</v>
      </c>
      <c r="B101" s="737" t="s">
        <v>90</v>
      </c>
      <c r="C101" s="738"/>
      <c r="D101" s="739"/>
      <c r="E101" s="1055">
        <v>9.0749999999999997E-2</v>
      </c>
      <c r="F101" s="1056"/>
      <c r="G101" s="442">
        <f>ROUND($E$101*G28,2)</f>
        <v>107.09</v>
      </c>
      <c r="H101" s="442">
        <f>ROUND($E$101*H28,2)</f>
        <v>157.07</v>
      </c>
      <c r="I101" s="501"/>
      <c r="J101" s="501"/>
    </row>
    <row r="102" spans="1:12" ht="33.75" customHeight="1">
      <c r="A102" s="458" t="s">
        <v>289</v>
      </c>
      <c r="B102" s="979" t="s">
        <v>26</v>
      </c>
      <c r="C102" s="980"/>
      <c r="D102" s="981"/>
      <c r="E102" s="1057">
        <f>F48*21.19%</f>
        <v>7.8E-2</v>
      </c>
      <c r="F102" s="1058"/>
      <c r="G102" s="442">
        <f>ROUND($E$102*G28,2)</f>
        <v>92.04</v>
      </c>
      <c r="H102" s="442">
        <f>ROUND($E$102*H28,2)</f>
        <v>135</v>
      </c>
      <c r="I102" s="501"/>
      <c r="J102" s="501"/>
      <c r="K102" s="430"/>
    </row>
    <row r="103" spans="1:12" ht="19.5" customHeight="1">
      <c r="A103" s="992" t="s">
        <v>91</v>
      </c>
      <c r="B103" s="993"/>
      <c r="C103" s="993"/>
      <c r="D103" s="993"/>
      <c r="E103" s="993"/>
      <c r="F103" s="994"/>
      <c r="G103" s="445">
        <f>SUM(G99:G102)</f>
        <v>248.95</v>
      </c>
      <c r="H103" s="445">
        <f>SUM(H99:H102)</f>
        <v>364.89</v>
      </c>
      <c r="J103" s="506"/>
      <c r="K103" s="430"/>
    </row>
    <row r="104" spans="1:12" ht="4.5" customHeight="1">
      <c r="A104" s="465"/>
      <c r="B104" s="432"/>
      <c r="C104" s="432"/>
      <c r="D104" s="432"/>
      <c r="E104" s="432"/>
      <c r="F104" s="432"/>
      <c r="G104" s="432"/>
      <c r="H104" s="432"/>
      <c r="I104" s="496"/>
      <c r="J104" s="496"/>
    </row>
    <row r="105" spans="1:12" ht="18.75" customHeight="1">
      <c r="A105" s="1054" t="s">
        <v>92</v>
      </c>
      <c r="B105" s="1054"/>
      <c r="C105" s="1054"/>
      <c r="D105" s="1054"/>
      <c r="E105" s="1054"/>
      <c r="F105" s="1054"/>
      <c r="G105" s="1054"/>
      <c r="H105" s="1054"/>
      <c r="I105" s="496"/>
      <c r="J105" s="496"/>
    </row>
    <row r="106" spans="1:12" ht="19.5" customHeight="1">
      <c r="A106" s="466"/>
      <c r="B106" s="467"/>
      <c r="C106" s="467"/>
      <c r="D106" s="467"/>
      <c r="E106" s="467"/>
      <c r="F106" s="467"/>
      <c r="G106" s="681" t="s">
        <v>14</v>
      </c>
      <c r="H106" s="677" t="s">
        <v>14</v>
      </c>
      <c r="I106" s="500"/>
      <c r="J106" s="500"/>
    </row>
    <row r="107" spans="1:12" ht="19.5" customHeight="1">
      <c r="A107" s="201" t="s">
        <v>4</v>
      </c>
      <c r="B107" s="412" t="s">
        <v>93</v>
      </c>
      <c r="C107" s="384"/>
      <c r="D107" s="384"/>
      <c r="E107" s="384"/>
      <c r="F107" s="384"/>
      <c r="G107" s="442">
        <v>0</v>
      </c>
      <c r="H107" s="442">
        <v>0</v>
      </c>
      <c r="I107" s="501"/>
      <c r="J107" s="501"/>
    </row>
    <row r="108" spans="1:12" ht="19.5" customHeight="1">
      <c r="A108" s="992" t="s">
        <v>94</v>
      </c>
      <c r="B108" s="993"/>
      <c r="C108" s="993"/>
      <c r="D108" s="993"/>
      <c r="E108" s="993"/>
      <c r="F108" s="994"/>
      <c r="G108" s="460">
        <f>G107</f>
        <v>0</v>
      </c>
      <c r="H108" s="460">
        <f>H107</f>
        <v>0</v>
      </c>
      <c r="J108" s="506"/>
    </row>
    <row r="109" spans="1:12" ht="5.25" customHeight="1">
      <c r="A109" s="468"/>
      <c r="B109" s="469"/>
      <c r="C109" s="469"/>
      <c r="D109" s="469"/>
      <c r="E109" s="469"/>
      <c r="F109" s="469"/>
      <c r="G109" s="469"/>
      <c r="H109" s="469"/>
      <c r="I109" s="503"/>
      <c r="J109" s="503"/>
    </row>
    <row r="110" spans="1:12" ht="21.65" customHeight="1">
      <c r="A110" s="1051" t="s">
        <v>95</v>
      </c>
      <c r="B110" s="1052"/>
      <c r="C110" s="1052"/>
      <c r="D110" s="1052"/>
      <c r="E110" s="1052"/>
      <c r="F110" s="1053"/>
      <c r="G110" s="470">
        <f>ROUND(G108+G103,2)</f>
        <v>248.95</v>
      </c>
      <c r="H110" s="471">
        <f>ROUND(H108+H103,2)</f>
        <v>364.89</v>
      </c>
      <c r="J110" s="507"/>
      <c r="K110" s="430"/>
    </row>
    <row r="111" spans="1:12" ht="6.75" customHeight="1">
      <c r="A111" s="426"/>
      <c r="B111" s="427"/>
      <c r="C111" s="427"/>
      <c r="D111" s="427"/>
      <c r="E111" s="427"/>
      <c r="F111" s="427"/>
      <c r="G111" s="427"/>
      <c r="H111" s="427"/>
      <c r="I111" s="354"/>
      <c r="J111" s="354"/>
    </row>
    <row r="112" spans="1:12" ht="21.65" customHeight="1">
      <c r="A112" s="769" t="s">
        <v>96</v>
      </c>
      <c r="B112" s="769"/>
      <c r="C112" s="769"/>
      <c r="D112" s="769"/>
      <c r="E112" s="769"/>
      <c r="F112" s="769"/>
      <c r="G112" s="769"/>
      <c r="H112" s="769"/>
      <c r="I112" s="485"/>
      <c r="J112" s="485"/>
    </row>
    <row r="113" spans="1:10" s="430" customFormat="1" ht="43" customHeight="1">
      <c r="A113" s="1059"/>
      <c r="B113" s="1060"/>
      <c r="C113" s="1060"/>
      <c r="D113" s="1060"/>
      <c r="E113" s="1060"/>
      <c r="F113" s="1061"/>
      <c r="G113" s="487" t="s">
        <v>495</v>
      </c>
      <c r="H113" s="487" t="s">
        <v>123</v>
      </c>
    </row>
    <row r="114" spans="1:10" s="430" customFormat="1" ht="19.5" customHeight="1">
      <c r="A114" s="1062"/>
      <c r="B114" s="1063"/>
      <c r="C114" s="1063"/>
      <c r="D114" s="1063"/>
      <c r="E114" s="1063"/>
      <c r="F114" s="1064"/>
      <c r="G114" s="677" t="s">
        <v>14</v>
      </c>
      <c r="H114" s="677" t="s">
        <v>14</v>
      </c>
    </row>
    <row r="115" spans="1:10" ht="19.5" customHeight="1">
      <c r="A115" s="245" t="s">
        <v>97</v>
      </c>
      <c r="B115" s="1065" t="s">
        <v>98</v>
      </c>
      <c r="C115" s="1066"/>
      <c r="D115" s="1066"/>
      <c r="E115" s="1066"/>
      <c r="F115" s="1067"/>
      <c r="G115" s="472">
        <f>Uniforme!$G$26</f>
        <v>119.55</v>
      </c>
      <c r="H115" s="472">
        <f>Uniforme!$G$26</f>
        <v>119.55</v>
      </c>
      <c r="I115" s="202"/>
      <c r="J115" s="508"/>
    </row>
    <row r="116" spans="1:10" s="200" customFormat="1" ht="19.5" customHeight="1">
      <c r="A116" s="245" t="s">
        <v>5</v>
      </c>
      <c r="B116" s="1065" t="s">
        <v>272</v>
      </c>
      <c r="C116" s="1066"/>
      <c r="D116" s="1066"/>
      <c r="E116" s="1066"/>
      <c r="F116" s="1067"/>
      <c r="G116" s="472">
        <f>Insumos!$G$79</f>
        <v>895.65</v>
      </c>
      <c r="H116" s="472">
        <f>Insumos!$G$79</f>
        <v>895.65</v>
      </c>
      <c r="I116" s="202"/>
      <c r="J116" s="508"/>
    </row>
    <row r="117" spans="1:10" s="200" customFormat="1" ht="19.5" customHeight="1">
      <c r="A117" s="245" t="s">
        <v>6</v>
      </c>
      <c r="B117" s="473" t="s">
        <v>310</v>
      </c>
      <c r="C117" s="474"/>
      <c r="D117" s="474"/>
      <c r="E117" s="474"/>
      <c r="F117" s="475"/>
      <c r="G117" s="472">
        <f>Equipamentos!$G$26</f>
        <v>59.51</v>
      </c>
      <c r="H117" s="472">
        <f>Equipamentos!$G$26</f>
        <v>59.51</v>
      </c>
      <c r="I117" s="202"/>
      <c r="J117" s="508"/>
    </row>
    <row r="118" spans="1:10" ht="19.5" customHeight="1">
      <c r="A118" s="201" t="s">
        <v>7</v>
      </c>
      <c r="B118" s="972" t="s">
        <v>70</v>
      </c>
      <c r="C118" s="973"/>
      <c r="D118" s="973"/>
      <c r="E118" s="973"/>
      <c r="F118" s="1068"/>
      <c r="G118" s="717"/>
      <c r="H118" s="717"/>
      <c r="I118" s="202"/>
      <c r="J118" s="492"/>
    </row>
    <row r="119" spans="1:10" ht="22" customHeight="1">
      <c r="A119" s="989" t="s">
        <v>99</v>
      </c>
      <c r="B119" s="995"/>
      <c r="C119" s="995"/>
      <c r="D119" s="995"/>
      <c r="E119" s="995"/>
      <c r="F119" s="996"/>
      <c r="G119" s="425">
        <f>ROUND(SUM(G115:G118),2)</f>
        <v>1074.71</v>
      </c>
      <c r="H119" s="425">
        <f t="shared" ref="H119" si="31">ROUND(SUM(H115:H118),2)</f>
        <v>1074.71</v>
      </c>
      <c r="J119" s="509"/>
    </row>
    <row r="120" spans="1:10" ht="6.75" customHeight="1">
      <c r="A120" s="426"/>
      <c r="B120" s="427"/>
      <c r="C120" s="427"/>
      <c r="D120" s="427"/>
      <c r="E120" s="427"/>
      <c r="F120" s="427"/>
      <c r="G120" s="427"/>
      <c r="H120" s="427"/>
      <c r="I120" s="354"/>
      <c r="J120" s="354"/>
    </row>
    <row r="121" spans="1:10" ht="23.25" customHeight="1">
      <c r="A121" s="769" t="s">
        <v>100</v>
      </c>
      <c r="B121" s="769"/>
      <c r="C121" s="769"/>
      <c r="D121" s="769"/>
      <c r="E121" s="769"/>
      <c r="F121" s="769"/>
      <c r="G121" s="769"/>
      <c r="H121" s="769"/>
    </row>
    <row r="122" spans="1:10" ht="49" customHeight="1">
      <c r="A122" s="476"/>
      <c r="B122" s="477"/>
      <c r="C122" s="477"/>
      <c r="D122" s="477"/>
      <c r="E122" s="477"/>
      <c r="F122" s="477"/>
      <c r="G122" s="487" t="s">
        <v>495</v>
      </c>
      <c r="H122" s="487" t="s">
        <v>123</v>
      </c>
    </row>
    <row r="123" spans="1:10" ht="19.5" customHeight="1">
      <c r="A123" s="1048"/>
      <c r="B123" s="1049"/>
      <c r="C123" s="1049"/>
      <c r="D123" s="1049"/>
      <c r="E123" s="1049"/>
      <c r="F123" s="1050"/>
      <c r="G123" s="677" t="s">
        <v>14</v>
      </c>
      <c r="H123" s="677" t="s">
        <v>14</v>
      </c>
      <c r="I123" s="430"/>
    </row>
    <row r="124" spans="1:10" ht="19.5" customHeight="1">
      <c r="A124" s="201" t="s">
        <v>4</v>
      </c>
      <c r="B124" s="737" t="s">
        <v>101</v>
      </c>
      <c r="C124" s="738"/>
      <c r="D124" s="738"/>
      <c r="E124" s="738"/>
      <c r="F124" s="739"/>
      <c r="G124" s="207">
        <f>ROUND((G28+G58+G69+G110+G119)*'Benefícios e Outros Dados'!$K$24,2)</f>
        <v>236.89</v>
      </c>
      <c r="H124" s="207">
        <f>ROUND((H28+H58+H69+H110+H119)*'Benefícios e Outros Dados'!$K$24,2)</f>
        <v>292.74</v>
      </c>
    </row>
    <row r="125" spans="1:10" ht="19.5" customHeight="1">
      <c r="A125" s="201" t="s">
        <v>5</v>
      </c>
      <c r="B125" s="737" t="s">
        <v>48</v>
      </c>
      <c r="C125" s="738"/>
      <c r="D125" s="738"/>
      <c r="E125" s="738"/>
      <c r="F125" s="739"/>
      <c r="G125" s="207">
        <f>ROUND((G28+G58+G69+G110+G119+G124)*'Benefícios e Outros Dados'!$K$25,2)</f>
        <v>253.9</v>
      </c>
      <c r="H125" s="207">
        <f>ROUND((H28+H58+H69+H110+H119+H124)*'Benefícios e Outros Dados'!$K$25,2)</f>
        <v>313.76</v>
      </c>
    </row>
    <row r="126" spans="1:10" ht="19.5" customHeight="1">
      <c r="A126" s="1012" t="s">
        <v>6</v>
      </c>
      <c r="B126" s="1012" t="s">
        <v>102</v>
      </c>
      <c r="C126" s="1032" t="s">
        <v>103</v>
      </c>
      <c r="D126" s="1033"/>
      <c r="E126" s="764" t="s">
        <v>52</v>
      </c>
      <c r="F126" s="766"/>
      <c r="G126" s="207">
        <f>ROUND((($G$28+$G$58+$G$69+$G$110+$G$119+$G$124+$G$125)/(1-'Benefícios e Outros Dados'!K32))*'Benefícios e Outros Dados'!K27,2)</f>
        <v>86.31</v>
      </c>
      <c r="H126" s="207">
        <f>ROUND((($H$28+$H$58+$H$69+$H$110+$H$119+$H$124+$H$125)/(1-'Benefícios e Outros Dados'!K32))*'Benefícios e Outros Dados'!K27,2)</f>
        <v>106.66</v>
      </c>
      <c r="I126" s="200"/>
    </row>
    <row r="127" spans="1:10" ht="19.5" customHeight="1">
      <c r="A127" s="1031"/>
      <c r="B127" s="1031"/>
      <c r="C127" s="1034"/>
      <c r="D127" s="1035"/>
      <c r="E127" s="764" t="s">
        <v>53</v>
      </c>
      <c r="F127" s="766"/>
      <c r="G127" s="207">
        <f>ROUND((($G$28+$G$58+$G$69+$G$110+$G$119+$G$124+$G$125)/(1-'Benefícios e Outros Dados'!K32))*'Benefícios e Outros Dados'!K28,2)</f>
        <v>397.55</v>
      </c>
      <c r="H127" s="207">
        <f>ROUND((($H$28+$H$58+$H$69+$H$110+$H$119+$H$124+$H$125)/(1-'Benefícios e Outros Dados'!K32))*'Benefícios e Outros Dados'!K28,2)</f>
        <v>491.28</v>
      </c>
    </row>
    <row r="128" spans="1:10" ht="19.5" customHeight="1">
      <c r="A128" s="1031"/>
      <c r="B128" s="1031"/>
      <c r="C128" s="1036"/>
      <c r="D128" s="1037"/>
      <c r="E128" s="764" t="s">
        <v>503</v>
      </c>
      <c r="F128" s="766"/>
      <c r="G128" s="207">
        <f>ROUND((($G$28+$G$58+$G$69+$G$110+$G$119+$G$124+$G$125)/(1-'Benefícios e Outros Dados'!K32))*'Benefícios e Outros Dados'!K29,2)</f>
        <v>0</v>
      </c>
      <c r="H128" s="207">
        <f>ROUND((($H$28+$H$58+$H$69+$H$110+$H$119+$H$124+$H$125)/(1-'Benefícios e Outros Dados'!K32))*'Benefícios e Outros Dados'!K29,2)</f>
        <v>0</v>
      </c>
    </row>
    <row r="129" spans="1:9" ht="19.5" customHeight="1">
      <c r="A129" s="1031"/>
      <c r="B129" s="1031"/>
      <c r="C129" s="1038" t="s">
        <v>105</v>
      </c>
      <c r="D129" s="1039"/>
      <c r="E129" s="764" t="s">
        <v>106</v>
      </c>
      <c r="F129" s="766"/>
      <c r="G129" s="207">
        <f>ROUND((($G$28+$G$58+$G$69+$G$110+$G$119+$G$124+$G$125)/(1-'Benefícios e Outros Dados'!K32))*'Benefícios e Outros Dados'!K31,2)</f>
        <v>261.55</v>
      </c>
      <c r="H129" s="207">
        <f>ROUND((($H$28+$H$58+$H$69+$H$110+$H$119+$H$124+$H$125)/(1-'Benefícios e Outros Dados'!K32))*'Benefícios e Outros Dados'!K31,2)</f>
        <v>323.20999999999998</v>
      </c>
    </row>
    <row r="130" spans="1:9" ht="19.5" customHeight="1">
      <c r="A130" s="1031"/>
      <c r="B130" s="1031"/>
      <c r="C130" s="740" t="s">
        <v>504</v>
      </c>
      <c r="D130" s="1043"/>
      <c r="E130" s="1043"/>
      <c r="F130" s="741"/>
      <c r="G130" s="207">
        <f>ROUND((($G$28+$G$58+$G$69+$G$110+$G$119+$G$124+$G$125)/(1-'Benefícios e Outros Dados'!K32))*'Benefícios e Outros Dados'!K30,2)</f>
        <v>0</v>
      </c>
      <c r="H130" s="207">
        <f>ROUND((($H$28+$H$58+$H$69+$H$110+$H$119+$H$124+$H$125)/(1-'Benefícios e Outros Dados'!K32))*'Benefícios e Outros Dados'!K30,2)</f>
        <v>0</v>
      </c>
    </row>
    <row r="131" spans="1:9" ht="19.5" customHeight="1">
      <c r="A131" s="787"/>
      <c r="B131" s="1044" t="s">
        <v>213</v>
      </c>
      <c r="C131" s="1045"/>
      <c r="D131" s="1045"/>
      <c r="E131" s="1045"/>
      <c r="F131" s="1046"/>
      <c r="G131" s="464">
        <f>SUM(G126,G127,G128,G129,G130)</f>
        <v>745.41</v>
      </c>
      <c r="H131" s="464">
        <f t="shared" ref="H131" si="32">SUM(H126,H127,H128,H129,H130)</f>
        <v>921.15</v>
      </c>
    </row>
    <row r="132" spans="1:9" ht="21.75" customHeight="1">
      <c r="A132" s="1008" t="s">
        <v>107</v>
      </c>
      <c r="B132" s="1009"/>
      <c r="C132" s="1009"/>
      <c r="D132" s="1009"/>
      <c r="E132" s="1009"/>
      <c r="F132" s="1010"/>
      <c r="G132" s="478">
        <f>ROUND(SUM(G131,G125,G124),2)</f>
        <v>1236.2</v>
      </c>
      <c r="H132" s="478">
        <f>ROUND(SUM(H131,H125,H124),2)</f>
        <v>1527.65</v>
      </c>
    </row>
    <row r="133" spans="1:9" ht="15" customHeight="1">
      <c r="A133" s="1040"/>
      <c r="B133" s="1041"/>
      <c r="C133" s="1041"/>
      <c r="D133" s="1041"/>
      <c r="E133" s="1041"/>
      <c r="F133" s="1041"/>
      <c r="G133" s="1041"/>
      <c r="H133" s="1041"/>
    </row>
    <row r="134" spans="1:9" ht="23.25" customHeight="1">
      <c r="A134" s="1042" t="s">
        <v>108</v>
      </c>
      <c r="B134" s="1042"/>
      <c r="C134" s="1042"/>
      <c r="D134" s="1042"/>
      <c r="E134" s="1042"/>
      <c r="F134" s="1042"/>
      <c r="G134" s="1042"/>
      <c r="H134" s="1042"/>
    </row>
    <row r="135" spans="1:9" ht="45.65" customHeight="1">
      <c r="A135" s="479"/>
      <c r="B135" s="480"/>
      <c r="C135" s="480"/>
      <c r="D135" s="480"/>
      <c r="E135" s="480"/>
      <c r="F135" s="480"/>
      <c r="G135" s="487" t="s">
        <v>495</v>
      </c>
      <c r="H135" s="487" t="s">
        <v>123</v>
      </c>
    </row>
    <row r="136" spans="1:9" ht="19.5" customHeight="1">
      <c r="A136" s="201" t="s">
        <v>4</v>
      </c>
      <c r="B136" s="412" t="s">
        <v>109</v>
      </c>
      <c r="C136" s="384"/>
      <c r="D136" s="384"/>
      <c r="E136" s="384"/>
      <c r="F136" s="384"/>
      <c r="G136" s="481">
        <f>G28</f>
        <v>1180.06</v>
      </c>
      <c r="H136" s="481">
        <f t="shared" ref="H136" si="33">H28</f>
        <v>1730.75</v>
      </c>
    </row>
    <row r="137" spans="1:9" ht="19.5" customHeight="1">
      <c r="A137" s="201" t="s">
        <v>5</v>
      </c>
      <c r="B137" s="412" t="s">
        <v>110</v>
      </c>
      <c r="C137" s="384"/>
      <c r="D137" s="384"/>
      <c r="E137" s="384"/>
      <c r="F137" s="384"/>
      <c r="G137" s="481">
        <f>G58</f>
        <v>1398.95</v>
      </c>
      <c r="H137" s="481">
        <f t="shared" ref="H137" si="34">H58</f>
        <v>1631.1</v>
      </c>
    </row>
    <row r="138" spans="1:9" ht="19.5" customHeight="1">
      <c r="A138" s="201" t="s">
        <v>6</v>
      </c>
      <c r="B138" s="412" t="s">
        <v>111</v>
      </c>
      <c r="C138" s="384"/>
      <c r="D138" s="384"/>
      <c r="E138" s="384"/>
      <c r="F138" s="384"/>
      <c r="G138" s="481">
        <f>G69</f>
        <v>92.1</v>
      </c>
      <c r="H138" s="481">
        <f t="shared" ref="H138" si="35">H69</f>
        <v>135.09</v>
      </c>
    </row>
    <row r="139" spans="1:9" ht="19.5" customHeight="1">
      <c r="A139" s="201" t="s">
        <v>7</v>
      </c>
      <c r="B139" s="412" t="s">
        <v>112</v>
      </c>
      <c r="C139" s="384"/>
      <c r="D139" s="384"/>
      <c r="E139" s="384"/>
      <c r="F139" s="384"/>
      <c r="G139" s="482">
        <f>G110</f>
        <v>248.95</v>
      </c>
      <c r="H139" s="482">
        <f t="shared" ref="H139" si="36">H110</f>
        <v>364.89</v>
      </c>
    </row>
    <row r="140" spans="1:9" ht="19.5" customHeight="1">
      <c r="A140" s="201" t="s">
        <v>9</v>
      </c>
      <c r="B140" s="412" t="s">
        <v>113</v>
      </c>
      <c r="C140" s="384"/>
      <c r="D140" s="384"/>
      <c r="E140" s="384"/>
      <c r="F140" s="384"/>
      <c r="G140" s="481">
        <f>G119</f>
        <v>1074.71</v>
      </c>
      <c r="H140" s="481">
        <f t="shared" ref="H140" si="37">H119</f>
        <v>1074.71</v>
      </c>
    </row>
    <row r="141" spans="1:9" ht="19.5" customHeight="1">
      <c r="A141" s="201" t="s">
        <v>12</v>
      </c>
      <c r="B141" s="412" t="s">
        <v>114</v>
      </c>
      <c r="C141" s="384"/>
      <c r="D141" s="384"/>
      <c r="E141" s="384"/>
      <c r="F141" s="384"/>
      <c r="G141" s="481">
        <f>G132</f>
        <v>1236.2</v>
      </c>
      <c r="H141" s="481">
        <f t="shared" ref="H141" si="38">H132</f>
        <v>1527.65</v>
      </c>
    </row>
    <row r="142" spans="1:9" ht="23.25" customHeight="1">
      <c r="A142" s="1027" t="s">
        <v>214</v>
      </c>
      <c r="B142" s="1028"/>
      <c r="C142" s="1028"/>
      <c r="D142" s="1028"/>
      <c r="E142" s="1028"/>
      <c r="F142" s="1029"/>
      <c r="G142" s="668">
        <f>ROUND(SUM(G136:G141),2)</f>
        <v>5230.97</v>
      </c>
      <c r="H142" s="668">
        <f>ROUND(SUM(H136:H141),2)</f>
        <v>6464.19</v>
      </c>
      <c r="I142" s="200"/>
    </row>
    <row r="143" spans="1:9" ht="15" customHeight="1">
      <c r="A143" s="1030"/>
      <c r="B143" s="788"/>
      <c r="C143" s="788"/>
      <c r="D143" s="788"/>
      <c r="E143" s="788"/>
      <c r="F143" s="788"/>
      <c r="G143" s="788"/>
      <c r="H143" s="788"/>
    </row>
  </sheetData>
  <mergeCells count="158">
    <mergeCell ref="B124:F124"/>
    <mergeCell ref="B125:F125"/>
    <mergeCell ref="A1:H1"/>
    <mergeCell ref="A2:H2"/>
    <mergeCell ref="A5:H5"/>
    <mergeCell ref="A6:H6"/>
    <mergeCell ref="G4:H4"/>
    <mergeCell ref="B13:F13"/>
    <mergeCell ref="B14:F14"/>
    <mergeCell ref="B15:F15"/>
    <mergeCell ref="B16:F16"/>
    <mergeCell ref="B17:F17"/>
    <mergeCell ref="A7:H7"/>
    <mergeCell ref="A8:H8"/>
    <mergeCell ref="A9:H9"/>
    <mergeCell ref="B10:F10"/>
    <mergeCell ref="B11:F11"/>
    <mergeCell ref="B12:F12"/>
    <mergeCell ref="B26:E26"/>
    <mergeCell ref="A19:D19"/>
    <mergeCell ref="E19:F19"/>
    <mergeCell ref="B27:E27"/>
    <mergeCell ref="A28:F28"/>
    <mergeCell ref="A30:H30"/>
    <mergeCell ref="A32:H32"/>
    <mergeCell ref="A21:H21"/>
    <mergeCell ref="A22:H22"/>
    <mergeCell ref="A23:E24"/>
    <mergeCell ref="F23:F24"/>
    <mergeCell ref="B25:E25"/>
    <mergeCell ref="B53:F53"/>
    <mergeCell ref="B54:F54"/>
    <mergeCell ref="B55:F55"/>
    <mergeCell ref="B56:F56"/>
    <mergeCell ref="A57:F57"/>
    <mergeCell ref="A58:F58"/>
    <mergeCell ref="A36:E36"/>
    <mergeCell ref="A38:H38"/>
    <mergeCell ref="B42:E42"/>
    <mergeCell ref="A48:E48"/>
    <mergeCell ref="A50:H50"/>
    <mergeCell ref="B52:F52"/>
    <mergeCell ref="I63:I64"/>
    <mergeCell ref="J63:J64"/>
    <mergeCell ref="B64:D64"/>
    <mergeCell ref="E64:F64"/>
    <mergeCell ref="B66:F66"/>
    <mergeCell ref="B67:F67"/>
    <mergeCell ref="A60:H60"/>
    <mergeCell ref="A61:F62"/>
    <mergeCell ref="A63:A64"/>
    <mergeCell ref="B63:F63"/>
    <mergeCell ref="G63:G64"/>
    <mergeCell ref="H63:H64"/>
    <mergeCell ref="I74:I75"/>
    <mergeCell ref="J74:J75"/>
    <mergeCell ref="A76:A77"/>
    <mergeCell ref="B76:B77"/>
    <mergeCell ref="G76:G77"/>
    <mergeCell ref="H76:H77"/>
    <mergeCell ref="I76:I77"/>
    <mergeCell ref="J76:J77"/>
    <mergeCell ref="B68:F68"/>
    <mergeCell ref="A69:F69"/>
    <mergeCell ref="A71:H71"/>
    <mergeCell ref="A72:F73"/>
    <mergeCell ref="A74:A75"/>
    <mergeCell ref="B74:B75"/>
    <mergeCell ref="G74:G75"/>
    <mergeCell ref="H74:H75"/>
    <mergeCell ref="J78:J79"/>
    <mergeCell ref="A80:A81"/>
    <mergeCell ref="B80:B81"/>
    <mergeCell ref="G80:G81"/>
    <mergeCell ref="H80:H81"/>
    <mergeCell ref="J80:J81"/>
    <mergeCell ref="A78:A79"/>
    <mergeCell ref="B78:B79"/>
    <mergeCell ref="G78:G79"/>
    <mergeCell ref="H78:H79"/>
    <mergeCell ref="I78:I79"/>
    <mergeCell ref="J82:J83"/>
    <mergeCell ref="A84:A85"/>
    <mergeCell ref="B84:B85"/>
    <mergeCell ref="G84:G85"/>
    <mergeCell ref="H84:H85"/>
    <mergeCell ref="I84:I85"/>
    <mergeCell ref="J84:J85"/>
    <mergeCell ref="A82:A83"/>
    <mergeCell ref="B82:B83"/>
    <mergeCell ref="G82:G83"/>
    <mergeCell ref="H82:H83"/>
    <mergeCell ref="I82:I83"/>
    <mergeCell ref="A90:A91"/>
    <mergeCell ref="B90:B91"/>
    <mergeCell ref="G90:G91"/>
    <mergeCell ref="H90:H91"/>
    <mergeCell ref="J90:J91"/>
    <mergeCell ref="J86:J87"/>
    <mergeCell ref="A88:A89"/>
    <mergeCell ref="B88:B89"/>
    <mergeCell ref="G88:G89"/>
    <mergeCell ref="H88:H89"/>
    <mergeCell ref="I88:I89"/>
    <mergeCell ref="J88:J89"/>
    <mergeCell ref="A86:A87"/>
    <mergeCell ref="B86:B87"/>
    <mergeCell ref="G86:G87"/>
    <mergeCell ref="H86:H87"/>
    <mergeCell ref="A99:F99"/>
    <mergeCell ref="B101:D101"/>
    <mergeCell ref="E101:F101"/>
    <mergeCell ref="B102:D102"/>
    <mergeCell ref="E102:F102"/>
    <mergeCell ref="A103:F103"/>
    <mergeCell ref="J92:J93"/>
    <mergeCell ref="A94:A95"/>
    <mergeCell ref="B94:B95"/>
    <mergeCell ref="G94:G95"/>
    <mergeCell ref="H94:H95"/>
    <mergeCell ref="J94:J95"/>
    <mergeCell ref="A92:A93"/>
    <mergeCell ref="B92:B93"/>
    <mergeCell ref="G92:G93"/>
    <mergeCell ref="H92:H93"/>
    <mergeCell ref="I92:I93"/>
    <mergeCell ref="A96:A97"/>
    <mergeCell ref="B96:B97"/>
    <mergeCell ref="G96:G97"/>
    <mergeCell ref="H96:H97"/>
    <mergeCell ref="I96:I97"/>
    <mergeCell ref="J96:J97"/>
    <mergeCell ref="B116:F116"/>
    <mergeCell ref="B118:F118"/>
    <mergeCell ref="A119:F119"/>
    <mergeCell ref="A121:H121"/>
    <mergeCell ref="A123:F123"/>
    <mergeCell ref="A105:H105"/>
    <mergeCell ref="A108:F108"/>
    <mergeCell ref="A110:F110"/>
    <mergeCell ref="A112:H112"/>
    <mergeCell ref="A113:F114"/>
    <mergeCell ref="B115:F115"/>
    <mergeCell ref="A132:F132"/>
    <mergeCell ref="A133:H133"/>
    <mergeCell ref="A134:H134"/>
    <mergeCell ref="A142:F142"/>
    <mergeCell ref="A143:H143"/>
    <mergeCell ref="A126:A131"/>
    <mergeCell ref="B126:B130"/>
    <mergeCell ref="C126:D128"/>
    <mergeCell ref="C129:D129"/>
    <mergeCell ref="B131:F131"/>
    <mergeCell ref="C130:F130"/>
    <mergeCell ref="E129:F129"/>
    <mergeCell ref="E128:F128"/>
    <mergeCell ref="E127:F127"/>
    <mergeCell ref="E126:F126"/>
  </mergeCells>
  <pageMargins left="0.511811024" right="0.511811024" top="0.78740157499999996" bottom="0.78740157499999996" header="0.31496062000000002" footer="0.31496062000000002"/>
  <pageSetup paperSize="9" scale="10" fitToHeight="0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F139"/>
  <sheetViews>
    <sheetView showGridLines="0" topLeftCell="A127" zoomScale="85" zoomScaleNormal="85" workbookViewId="0">
      <selection activeCell="J100" sqref="J100"/>
    </sheetView>
  </sheetViews>
  <sheetFormatPr defaultColWidth="8.7265625" defaultRowHeight="14.5"/>
  <cols>
    <col min="1" max="1" width="7.54296875" style="36" customWidth="1"/>
    <col min="2" max="2" width="14.54296875" style="36" customWidth="1"/>
    <col min="3" max="3" width="16.1796875" style="36" customWidth="1"/>
    <col min="4" max="4" width="13.81640625" style="36" customWidth="1"/>
    <col min="5" max="5" width="14.81640625" style="36" customWidth="1"/>
    <col min="6" max="6" width="26" style="36" customWidth="1"/>
    <col min="7" max="7" width="24" style="36" customWidth="1"/>
    <col min="8" max="8" width="12.26953125" style="36" customWidth="1"/>
    <col min="9" max="9" width="21.54296875" style="36" customWidth="1"/>
    <col min="10" max="16384" width="8.7265625" style="36"/>
  </cols>
  <sheetData>
    <row r="1" spans="1:9" s="2" customFormat="1" ht="22.5" customHeight="1">
      <c r="A1" s="1206" t="s">
        <v>0</v>
      </c>
      <c r="B1" s="1206"/>
      <c r="C1" s="1206"/>
      <c r="D1" s="1206"/>
      <c r="E1" s="1206"/>
      <c r="F1" s="1206"/>
      <c r="G1" s="1206"/>
      <c r="H1" s="10"/>
      <c r="I1" s="10"/>
    </row>
    <row r="2" spans="1:9" s="2" customFormat="1" ht="32.15" customHeight="1">
      <c r="A2" s="1201" t="s">
        <v>55</v>
      </c>
      <c r="B2" s="1201"/>
      <c r="C2" s="1201"/>
      <c r="D2" s="1201"/>
      <c r="E2" s="1201"/>
      <c r="F2" s="1201"/>
      <c r="G2" s="1201"/>
      <c r="H2" s="11"/>
      <c r="I2" s="11"/>
    </row>
    <row r="3" spans="1:9" s="2" customFormat="1" ht="6" customHeight="1">
      <c r="A3" s="9"/>
      <c r="B3" s="9"/>
      <c r="C3" s="9"/>
      <c r="D3" s="9"/>
      <c r="E3" s="9"/>
      <c r="F3" s="9"/>
      <c r="G3" s="9"/>
      <c r="H3" s="12"/>
      <c r="I3" s="12"/>
    </row>
    <row r="4" spans="1:9" s="2" customFormat="1" ht="18" customHeight="1">
      <c r="A4" s="3" t="s">
        <v>1</v>
      </c>
      <c r="B4" s="4"/>
      <c r="C4" s="4"/>
      <c r="D4" s="4"/>
      <c r="E4" s="4"/>
      <c r="F4" s="4"/>
      <c r="G4" s="124" t="str">
        <f>CCT!J4</f>
        <v>10707.720194-2025-26</v>
      </c>
      <c r="H4" s="13"/>
      <c r="I4" s="13"/>
    </row>
    <row r="5" spans="1:9" s="2" customFormat="1" ht="9" customHeight="1">
      <c r="A5" s="736"/>
      <c r="B5" s="736"/>
      <c r="C5" s="736"/>
      <c r="D5" s="736"/>
      <c r="E5" s="736"/>
      <c r="F5" s="736"/>
      <c r="G5" s="736"/>
      <c r="H5" s="12"/>
      <c r="I5" s="12"/>
    </row>
    <row r="6" spans="1:9" s="2" customFormat="1" ht="18" customHeight="1">
      <c r="A6" s="1207" t="s">
        <v>274</v>
      </c>
      <c r="B6" s="1207"/>
      <c r="C6" s="1207"/>
      <c r="D6" s="1207"/>
      <c r="E6" s="1207"/>
      <c r="F6" s="1207"/>
      <c r="G6" s="1207"/>
      <c r="H6" s="13"/>
      <c r="I6" s="13"/>
    </row>
    <row r="7" spans="1:9" ht="11.15" customHeight="1">
      <c r="A7" s="1199"/>
      <c r="B7" s="1200"/>
      <c r="C7" s="1200"/>
      <c r="D7" s="1200"/>
      <c r="E7" s="1200"/>
      <c r="F7" s="1200"/>
      <c r="G7" s="1200"/>
      <c r="H7" s="14"/>
      <c r="I7" s="14"/>
    </row>
    <row r="8" spans="1:9" ht="21.65" customHeight="1">
      <c r="A8" s="1128" t="s">
        <v>3</v>
      </c>
      <c r="B8" s="1128"/>
      <c r="C8" s="1128"/>
      <c r="D8" s="1128"/>
      <c r="E8" s="1128"/>
      <c r="F8" s="1128"/>
      <c r="G8" s="1128"/>
      <c r="H8" s="15"/>
      <c r="I8" s="15"/>
    </row>
    <row r="9" spans="1:9" ht="30" customHeight="1">
      <c r="A9" s="1201" t="s">
        <v>55</v>
      </c>
      <c r="B9" s="1201"/>
      <c r="C9" s="1201"/>
      <c r="D9" s="1201"/>
      <c r="E9" s="1201"/>
      <c r="F9" s="1201"/>
      <c r="G9" s="1201"/>
      <c r="H9" s="16"/>
      <c r="I9" s="16"/>
    </row>
    <row r="10" spans="1:9" ht="50.15" customHeight="1">
      <c r="A10" s="121" t="s">
        <v>4</v>
      </c>
      <c r="B10" s="1202" t="s">
        <v>115</v>
      </c>
      <c r="C10" s="1203"/>
      <c r="D10" s="1203"/>
      <c r="E10" s="1203"/>
      <c r="F10" s="1204"/>
      <c r="G10" s="30" t="s">
        <v>220</v>
      </c>
      <c r="H10" s="17"/>
      <c r="I10" s="18"/>
    </row>
    <row r="11" spans="1:9" ht="18.649999999999999" customHeight="1">
      <c r="A11" s="7" t="s">
        <v>5</v>
      </c>
      <c r="B11" s="1198" t="s">
        <v>116</v>
      </c>
      <c r="C11" s="1198"/>
      <c r="D11" s="1198"/>
      <c r="E11" s="1198"/>
      <c r="F11" s="1198"/>
      <c r="G11" s="23" t="e">
        <f>CCT!#REF!</f>
        <v>#REF!</v>
      </c>
      <c r="H11" s="17"/>
      <c r="I11" s="19"/>
    </row>
    <row r="12" spans="1:9" ht="18.649999999999999" customHeight="1">
      <c r="A12" s="124" t="s">
        <v>6</v>
      </c>
      <c r="B12" s="1205" t="s">
        <v>117</v>
      </c>
      <c r="C12" s="1205"/>
      <c r="D12" s="1205"/>
      <c r="E12" s="1205"/>
      <c r="F12" s="1205"/>
      <c r="G12" s="31" t="e">
        <f>CCT!#REF!</f>
        <v>#REF!</v>
      </c>
      <c r="H12" s="20"/>
      <c r="I12" s="21"/>
    </row>
    <row r="13" spans="1:9" ht="29.15" customHeight="1">
      <c r="A13" s="124" t="s">
        <v>7</v>
      </c>
      <c r="B13" s="1198" t="s">
        <v>118</v>
      </c>
      <c r="C13" s="1198"/>
      <c r="D13" s="1198"/>
      <c r="E13" s="1198"/>
      <c r="F13" s="1198"/>
      <c r="G13" s="8" t="e">
        <f>CCT!#REF!</f>
        <v>#REF!</v>
      </c>
      <c r="H13" s="17"/>
      <c r="I13" s="19"/>
    </row>
    <row r="14" spans="1:9" ht="18.649999999999999" customHeight="1">
      <c r="A14" s="124" t="s">
        <v>9</v>
      </c>
      <c r="B14" s="1198" t="s">
        <v>10</v>
      </c>
      <c r="C14" s="1198"/>
      <c r="D14" s="1198"/>
      <c r="E14" s="1198"/>
      <c r="F14" s="1198"/>
      <c r="G14" s="124" t="s">
        <v>221</v>
      </c>
      <c r="H14" s="17"/>
      <c r="I14" s="19"/>
    </row>
    <row r="15" spans="1:9" ht="18.649999999999999" customHeight="1">
      <c r="A15" s="124" t="s">
        <v>12</v>
      </c>
      <c r="B15" s="1198" t="s">
        <v>119</v>
      </c>
      <c r="C15" s="1198"/>
      <c r="D15" s="1198"/>
      <c r="E15" s="1198"/>
      <c r="F15" s="1198"/>
      <c r="G15" s="23" t="e">
        <f>CCT!#REF!</f>
        <v>#REF!</v>
      </c>
      <c r="H15" s="17"/>
      <c r="I15" s="22"/>
    </row>
    <row r="16" spans="1:9" ht="18.649999999999999" customHeight="1">
      <c r="A16" s="124" t="s">
        <v>13</v>
      </c>
      <c r="B16" s="1198" t="s">
        <v>120</v>
      </c>
      <c r="C16" s="1198"/>
      <c r="D16" s="1198"/>
      <c r="E16" s="1198"/>
      <c r="F16" s="1198"/>
      <c r="G16" s="32" t="e">
        <f>CCT!#REF!</f>
        <v>#REF!</v>
      </c>
      <c r="H16" s="17"/>
      <c r="I16" s="21"/>
    </row>
    <row r="17" spans="1:1020" ht="18.649999999999999" customHeight="1">
      <c r="A17" s="124" t="s">
        <v>24</v>
      </c>
      <c r="B17" s="1198" t="s">
        <v>121</v>
      </c>
      <c r="C17" s="1198"/>
      <c r="D17" s="1198"/>
      <c r="E17" s="1198"/>
      <c r="F17" s="1198"/>
      <c r="G17" s="145">
        <v>12</v>
      </c>
      <c r="H17" s="17"/>
      <c r="I17" s="21"/>
    </row>
    <row r="18" spans="1:1020" ht="18.649999999999999" customHeight="1">
      <c r="A18" s="124" t="s">
        <v>67</v>
      </c>
      <c r="B18" s="1198" t="s">
        <v>122</v>
      </c>
      <c r="C18" s="1198"/>
      <c r="D18" s="1198"/>
      <c r="E18" s="1198"/>
      <c r="F18" s="1198"/>
      <c r="G18" s="23" t="s">
        <v>124</v>
      </c>
      <c r="I18" s="18"/>
    </row>
    <row r="19" spans="1:1020" ht="6.75" customHeight="1">
      <c r="A19" s="1189"/>
      <c r="B19" s="1189"/>
      <c r="C19" s="1189"/>
      <c r="D19" s="1189"/>
      <c r="E19" s="1189"/>
      <c r="F19" s="1189"/>
      <c r="G19" s="1189"/>
      <c r="H19" s="14"/>
      <c r="I19" s="14"/>
    </row>
    <row r="20" spans="1:1020" ht="21.65" customHeight="1">
      <c r="A20" s="1128" t="s">
        <v>68</v>
      </c>
      <c r="B20" s="1128"/>
      <c r="C20" s="1128"/>
      <c r="D20" s="1128"/>
      <c r="E20" s="1128"/>
      <c r="F20" s="1128"/>
      <c r="G20" s="1128"/>
      <c r="H20" s="15"/>
      <c r="I20" s="15"/>
    </row>
    <row r="21" spans="1:1020" ht="45.65" customHeight="1">
      <c r="A21" s="1190"/>
      <c r="B21" s="1191"/>
      <c r="C21" s="1191"/>
      <c r="D21" s="1191"/>
      <c r="E21" s="1191"/>
      <c r="F21" s="1194" t="s">
        <v>69</v>
      </c>
      <c r="G21" s="30" t="s">
        <v>220</v>
      </c>
      <c r="H21" s="15"/>
      <c r="I21" s="15"/>
    </row>
    <row r="22" spans="1:1020" ht="19.5" customHeight="1">
      <c r="A22" s="1192"/>
      <c r="B22" s="1193"/>
      <c r="C22" s="1193"/>
      <c r="D22" s="1193"/>
      <c r="E22" s="1193"/>
      <c r="F22" s="1195"/>
      <c r="G22" s="125" t="s">
        <v>14</v>
      </c>
      <c r="H22" s="15"/>
      <c r="I22" s="26"/>
    </row>
    <row r="23" spans="1:1020" ht="19" customHeight="1">
      <c r="A23" s="123" t="s">
        <v>4</v>
      </c>
      <c r="B23" s="1138" t="s">
        <v>15</v>
      </c>
      <c r="C23" s="1139"/>
      <c r="D23" s="1139"/>
      <c r="E23" s="1139"/>
      <c r="F23" s="5"/>
      <c r="G23" s="146" t="e">
        <f>+G16</f>
        <v>#REF!</v>
      </c>
      <c r="H23" s="13"/>
      <c r="I23" s="27"/>
    </row>
    <row r="24" spans="1:1020" ht="19" customHeight="1">
      <c r="A24" s="123" t="s">
        <v>5</v>
      </c>
      <c r="B24" s="130" t="s">
        <v>222</v>
      </c>
      <c r="C24" s="131"/>
      <c r="D24" s="131"/>
      <c r="E24" s="131"/>
      <c r="F24" s="1">
        <v>0.3</v>
      </c>
      <c r="G24" s="46" t="e">
        <f>ROUND(F24*G23,2)</f>
        <v>#REF!</v>
      </c>
      <c r="H24" s="13"/>
      <c r="I24" s="27"/>
    </row>
    <row r="25" spans="1:1020" ht="19" customHeight="1">
      <c r="A25" s="123" t="s">
        <v>6</v>
      </c>
      <c r="B25" s="1196" t="s">
        <v>70</v>
      </c>
      <c r="C25" s="1197"/>
      <c r="D25" s="1197"/>
      <c r="E25" s="1197"/>
      <c r="F25" s="49"/>
      <c r="G25" s="47"/>
      <c r="H25" s="13"/>
      <c r="I25" s="27"/>
    </row>
    <row r="26" spans="1:1020" ht="19" customHeight="1">
      <c r="A26" s="123" t="s">
        <v>7</v>
      </c>
      <c r="B26" s="1111" t="s">
        <v>70</v>
      </c>
      <c r="C26" s="1112"/>
      <c r="D26" s="1112"/>
      <c r="E26" s="1112"/>
      <c r="F26" s="48"/>
      <c r="G26" s="47"/>
      <c r="H26" s="13"/>
      <c r="I26" s="27"/>
    </row>
    <row r="27" spans="1:1020" ht="22" customHeight="1">
      <c r="A27" s="1114" t="s">
        <v>71</v>
      </c>
      <c r="B27" s="1184"/>
      <c r="C27" s="1184"/>
      <c r="D27" s="1184"/>
      <c r="E27" s="1184"/>
      <c r="F27" s="1185"/>
      <c r="G27" s="39" t="e">
        <f>ROUND(SUM(G23:G26),2)</f>
        <v>#REF!</v>
      </c>
      <c r="I27" s="29"/>
    </row>
    <row r="28" spans="1:1020" ht="7.5" customHeight="1">
      <c r="A28" s="25"/>
      <c r="B28" s="40"/>
      <c r="C28" s="40"/>
      <c r="D28" s="40"/>
      <c r="E28" s="40"/>
      <c r="F28" s="40"/>
      <c r="G28" s="40"/>
      <c r="H28" s="14"/>
      <c r="I28" s="14"/>
    </row>
    <row r="29" spans="1:1020" s="41" customFormat="1" ht="21.65" customHeight="1">
      <c r="A29" s="1128" t="s">
        <v>72</v>
      </c>
      <c r="B29" s="1128"/>
      <c r="C29" s="1128"/>
      <c r="D29" s="1128"/>
      <c r="E29" s="1128"/>
      <c r="F29" s="1128"/>
      <c r="G29" s="1128"/>
    </row>
    <row r="30" spans="1:1020" s="41" customFormat="1" ht="42.65" customHeight="1">
      <c r="A30" s="137"/>
      <c r="B30" s="42"/>
      <c r="C30" s="42"/>
      <c r="D30" s="42"/>
      <c r="E30" s="42"/>
      <c r="F30" s="43"/>
      <c r="G30" s="30" t="s">
        <v>220</v>
      </c>
    </row>
    <row r="31" spans="1:1020" s="41" customFormat="1" ht="19.5" customHeight="1">
      <c r="A31" s="1180" t="s">
        <v>73</v>
      </c>
      <c r="B31" s="1180"/>
      <c r="C31" s="1180"/>
      <c r="D31" s="1180"/>
      <c r="E31" s="1180"/>
      <c r="F31" s="1179"/>
      <c r="G31" s="1179"/>
    </row>
    <row r="32" spans="1:1020" s="6" customFormat="1" ht="19.5" customHeight="1">
      <c r="A32" s="52"/>
      <c r="B32" s="57"/>
      <c r="C32" s="57"/>
      <c r="D32" s="57"/>
      <c r="E32" s="58"/>
      <c r="F32" s="50" t="s">
        <v>16</v>
      </c>
      <c r="G32" s="44" t="s">
        <v>14</v>
      </c>
      <c r="H32" s="15"/>
      <c r="I32" s="15"/>
      <c r="AME32" s="36"/>
      <c r="AMF32" s="36"/>
    </row>
    <row r="33" spans="1:1020" ht="19.5" customHeight="1">
      <c r="A33" s="55" t="s">
        <v>4</v>
      </c>
      <c r="B33" s="60" t="s">
        <v>74</v>
      </c>
      <c r="C33" s="61"/>
      <c r="D33" s="61"/>
      <c r="E33" s="62"/>
      <c r="F33" s="56">
        <v>8.3299999999999999E-2</v>
      </c>
      <c r="G33" s="127" t="e">
        <f>ROUND($F$33*G27,2)</f>
        <v>#REF!</v>
      </c>
      <c r="H33" s="28"/>
      <c r="I33" s="27"/>
    </row>
    <row r="34" spans="1:1020" ht="19.5" customHeight="1">
      <c r="A34" s="123" t="s">
        <v>5</v>
      </c>
      <c r="B34" s="3" t="s">
        <v>75</v>
      </c>
      <c r="C34" s="4"/>
      <c r="D34" s="4"/>
      <c r="E34" s="5"/>
      <c r="F34" s="59">
        <v>3.0249999999999999E-2</v>
      </c>
      <c r="G34" s="127" t="e">
        <f>ROUND($F$34*G27,2)</f>
        <v>#REF!</v>
      </c>
      <c r="H34" s="63"/>
      <c r="I34" s="27"/>
    </row>
    <row r="35" spans="1:1020" ht="19.5" customHeight="1">
      <c r="A35" s="1186" t="s">
        <v>76</v>
      </c>
      <c r="B35" s="1187"/>
      <c r="C35" s="1187"/>
      <c r="D35" s="1187"/>
      <c r="E35" s="1188"/>
      <c r="F35" s="66">
        <f>SUM(F33:F34)</f>
        <v>0.11360000000000001</v>
      </c>
      <c r="G35" s="67" t="e">
        <f>ROUND(SUM(G33:G34),2)</f>
        <v>#REF!</v>
      </c>
      <c r="I35" s="29"/>
    </row>
    <row r="36" spans="1:1020" ht="6.75" customHeight="1">
      <c r="A36" s="68"/>
      <c r="B36" s="69"/>
      <c r="C36" s="69"/>
      <c r="D36" s="69"/>
      <c r="E36" s="69"/>
      <c r="F36" s="69"/>
      <c r="G36" s="69"/>
      <c r="H36" s="35"/>
      <c r="I36" s="35"/>
    </row>
    <row r="37" spans="1:1020" ht="19.5" customHeight="1">
      <c r="A37" s="1179" t="s">
        <v>77</v>
      </c>
      <c r="B37" s="1179"/>
      <c r="C37" s="1179"/>
      <c r="D37" s="1179"/>
      <c r="E37" s="1179"/>
      <c r="F37" s="1179"/>
      <c r="G37" s="1179"/>
      <c r="H37" s="51"/>
      <c r="I37" s="51"/>
    </row>
    <row r="38" spans="1:1020" s="6" customFormat="1" ht="19.5" customHeight="1">
      <c r="A38" s="52"/>
      <c r="B38" s="53"/>
      <c r="C38" s="53"/>
      <c r="D38" s="53"/>
      <c r="E38" s="54"/>
      <c r="F38" s="50" t="s">
        <v>16</v>
      </c>
      <c r="G38" s="44" t="s">
        <v>14</v>
      </c>
      <c r="H38" s="15"/>
      <c r="I38" s="15"/>
      <c r="AME38" s="36"/>
      <c r="AMF38" s="36"/>
    </row>
    <row r="39" spans="1:1020" ht="19.5" customHeight="1">
      <c r="A39" s="55" t="s">
        <v>4</v>
      </c>
      <c r="B39" s="70" t="s">
        <v>17</v>
      </c>
      <c r="C39" s="18"/>
      <c r="D39" s="18"/>
      <c r="E39" s="71"/>
      <c r="F39" s="56">
        <v>0.2</v>
      </c>
      <c r="G39" s="38" t="e">
        <f>ROUND(F39*$G$27,2)</f>
        <v>#REF!</v>
      </c>
      <c r="H39" s="28"/>
      <c r="I39" s="26"/>
    </row>
    <row r="40" spans="1:1020" ht="19.5" customHeight="1">
      <c r="A40" s="123" t="s">
        <v>5</v>
      </c>
      <c r="B40" s="60" t="s">
        <v>18</v>
      </c>
      <c r="C40" s="61"/>
      <c r="D40" s="61"/>
      <c r="E40" s="62"/>
      <c r="F40" s="56">
        <v>2.5000000000000001E-2</v>
      </c>
      <c r="G40" s="38" t="e">
        <f t="shared" ref="G40:G46" si="0">ROUND(F40*$G$27,2)</f>
        <v>#REF!</v>
      </c>
      <c r="H40" s="28"/>
      <c r="I40" s="27"/>
    </row>
    <row r="41" spans="1:1020" ht="19.5" customHeight="1">
      <c r="A41" s="123"/>
      <c r="B41" s="1176" t="s">
        <v>19</v>
      </c>
      <c r="C41" s="1177"/>
      <c r="D41" s="1177"/>
      <c r="E41" s="1178"/>
      <c r="F41" s="72">
        <v>2.1600000000000001E-2</v>
      </c>
      <c r="G41" s="38" t="e">
        <f t="shared" si="0"/>
        <v>#REF!</v>
      </c>
      <c r="H41" s="74"/>
      <c r="I41" s="27"/>
    </row>
    <row r="42" spans="1:1020" ht="19.5" customHeight="1">
      <c r="A42" s="123" t="s">
        <v>7</v>
      </c>
      <c r="B42" s="60" t="s">
        <v>20</v>
      </c>
      <c r="C42" s="61"/>
      <c r="D42" s="61"/>
      <c r="E42" s="62"/>
      <c r="F42" s="56">
        <v>1.4999999999999999E-2</v>
      </c>
      <c r="G42" s="38" t="e">
        <f t="shared" si="0"/>
        <v>#REF!</v>
      </c>
      <c r="H42" s="28"/>
      <c r="I42" s="27"/>
    </row>
    <row r="43" spans="1:1020" ht="19.5" customHeight="1">
      <c r="A43" s="123" t="s">
        <v>9</v>
      </c>
      <c r="B43" s="60" t="s">
        <v>21</v>
      </c>
      <c r="C43" s="61"/>
      <c r="D43" s="61"/>
      <c r="E43" s="62"/>
      <c r="F43" s="56">
        <v>0.01</v>
      </c>
      <c r="G43" s="38" t="e">
        <f t="shared" si="0"/>
        <v>#REF!</v>
      </c>
      <c r="H43" s="28"/>
      <c r="I43" s="27"/>
    </row>
    <row r="44" spans="1:1020" ht="19.5" customHeight="1">
      <c r="A44" s="123" t="s">
        <v>12</v>
      </c>
      <c r="B44" s="60" t="s">
        <v>22</v>
      </c>
      <c r="C44" s="61"/>
      <c r="D44" s="61"/>
      <c r="E44" s="62"/>
      <c r="F44" s="56">
        <v>6.0000000000000001E-3</v>
      </c>
      <c r="G44" s="38" t="e">
        <f t="shared" si="0"/>
        <v>#REF!</v>
      </c>
      <c r="H44" s="28"/>
      <c r="I44" s="27"/>
    </row>
    <row r="45" spans="1:1020" ht="19.5" customHeight="1">
      <c r="A45" s="123" t="s">
        <v>13</v>
      </c>
      <c r="B45" s="60" t="s">
        <v>23</v>
      </c>
      <c r="C45" s="61"/>
      <c r="D45" s="61"/>
      <c r="E45" s="62"/>
      <c r="F45" s="56">
        <v>2E-3</v>
      </c>
      <c r="G45" s="38" t="e">
        <f t="shared" si="0"/>
        <v>#REF!</v>
      </c>
      <c r="H45" s="28"/>
      <c r="I45" s="27"/>
    </row>
    <row r="46" spans="1:1020" ht="19.5" customHeight="1">
      <c r="A46" s="123" t="s">
        <v>24</v>
      </c>
      <c r="B46" s="3" t="s">
        <v>25</v>
      </c>
      <c r="C46" s="4"/>
      <c r="D46" s="4"/>
      <c r="E46" s="5"/>
      <c r="F46" s="56">
        <v>0.08</v>
      </c>
      <c r="G46" s="38" t="e">
        <f t="shared" si="0"/>
        <v>#REF!</v>
      </c>
      <c r="H46" s="28"/>
      <c r="I46" s="27"/>
    </row>
    <row r="47" spans="1:1020" ht="19" customHeight="1">
      <c r="A47" s="1179" t="s">
        <v>78</v>
      </c>
      <c r="B47" s="1179"/>
      <c r="C47" s="1179"/>
      <c r="D47" s="1179"/>
      <c r="E47" s="1179"/>
      <c r="F47" s="64">
        <f>SUM(F39:F46)</f>
        <v>0.35959999999999998</v>
      </c>
      <c r="G47" s="73" t="e">
        <f>ROUND(SUM(G39:G46),2)</f>
        <v>#REF!</v>
      </c>
      <c r="I47" s="29"/>
    </row>
    <row r="48" spans="1:1020" ht="5.25" customHeight="1">
      <c r="A48" s="88"/>
      <c r="B48" s="88"/>
      <c r="C48" s="88"/>
      <c r="D48" s="88"/>
      <c r="E48" s="88"/>
      <c r="F48" s="88"/>
      <c r="G48" s="88"/>
      <c r="H48" s="88"/>
      <c r="I48" s="88"/>
    </row>
    <row r="49" spans="1:10" ht="19.5" customHeight="1">
      <c r="A49" s="1180" t="s">
        <v>79</v>
      </c>
      <c r="B49" s="1180"/>
      <c r="C49" s="1180"/>
      <c r="D49" s="1180"/>
      <c r="E49" s="1180"/>
      <c r="F49" s="1180"/>
      <c r="G49" s="1179"/>
      <c r="H49" s="51"/>
      <c r="I49" s="51"/>
      <c r="J49" s="26"/>
    </row>
    <row r="50" spans="1:10" ht="19.5" customHeight="1">
      <c r="A50" s="52"/>
      <c r="B50" s="53"/>
      <c r="C50" s="53"/>
      <c r="D50" s="53"/>
      <c r="E50" s="53"/>
      <c r="F50" s="54"/>
      <c r="G50" s="45" t="s">
        <v>14</v>
      </c>
      <c r="H50" s="51"/>
      <c r="I50" s="15"/>
      <c r="J50" s="26"/>
    </row>
    <row r="51" spans="1:10" ht="19.5" customHeight="1">
      <c r="A51" s="129" t="s">
        <v>4</v>
      </c>
      <c r="B51" s="1181" t="s">
        <v>28</v>
      </c>
      <c r="C51" s="1181"/>
      <c r="D51" s="1181"/>
      <c r="E51" s="1181"/>
      <c r="F51" s="1181"/>
      <c r="G51" s="127">
        <f>ROUND(('Benefícios e Outros Dados'!$J$15-'Benefícios e Outros Dados'!$J$16)*'Benefícios e Outros Dados'!$K$12,2)</f>
        <v>472.5</v>
      </c>
      <c r="I51" s="27"/>
      <c r="J51" s="26"/>
    </row>
    <row r="52" spans="1:10" ht="19.5" customHeight="1">
      <c r="A52" s="124" t="s">
        <v>5</v>
      </c>
      <c r="B52" s="1182" t="s">
        <v>31</v>
      </c>
      <c r="C52" s="1183"/>
      <c r="D52" s="1183"/>
      <c r="E52" s="1183"/>
      <c r="F52" s="1183"/>
      <c r="G52" s="89" t="e">
        <f>ROUND(((('Benefícios e Outros Dados'!$J$17*'Benefícios e Outros Dados'!$J$18)+('Benefícios e Outros Dados'!$J$19*'Benefícios e Outros Dados'!$J$20))*'Benefícios e Outros Dados'!$K$12)-(0.06*G23),2)</f>
        <v>#REF!</v>
      </c>
      <c r="H52" s="13"/>
      <c r="I52" s="27"/>
      <c r="J52" s="26"/>
    </row>
    <row r="53" spans="1:10" ht="19.5" customHeight="1">
      <c r="A53" s="124" t="s">
        <v>6</v>
      </c>
      <c r="B53" s="1138" t="s">
        <v>33</v>
      </c>
      <c r="C53" s="1139"/>
      <c r="D53" s="1139"/>
      <c r="E53" s="1139"/>
      <c r="F53" s="1139"/>
      <c r="G53" s="127">
        <f>'Benefícios e Outros Dados'!$J$21</f>
        <v>21.6</v>
      </c>
      <c r="H53" s="13"/>
      <c r="I53" s="27"/>
      <c r="J53" s="26"/>
    </row>
    <row r="54" spans="1:10" ht="19.5" customHeight="1">
      <c r="A54" s="124" t="s">
        <v>7</v>
      </c>
      <c r="B54" s="1111" t="s">
        <v>70</v>
      </c>
      <c r="C54" s="1112"/>
      <c r="D54" s="1112"/>
      <c r="E54" s="1112"/>
      <c r="F54" s="1112"/>
      <c r="G54" s="34"/>
      <c r="H54" s="13"/>
      <c r="I54" s="27"/>
      <c r="J54" s="26"/>
    </row>
    <row r="55" spans="1:10" ht="19.5" customHeight="1">
      <c r="A55" s="124" t="s">
        <v>9</v>
      </c>
      <c r="B55" s="1111" t="s">
        <v>70</v>
      </c>
      <c r="C55" s="1112"/>
      <c r="D55" s="1112"/>
      <c r="E55" s="1112"/>
      <c r="F55" s="1112"/>
      <c r="G55" s="34"/>
      <c r="H55" s="13"/>
      <c r="I55" s="27"/>
      <c r="J55" s="26"/>
    </row>
    <row r="56" spans="1:10" ht="19.5" customHeight="1">
      <c r="A56" s="1122" t="s">
        <v>80</v>
      </c>
      <c r="B56" s="1123"/>
      <c r="C56" s="1123"/>
      <c r="D56" s="1123"/>
      <c r="E56" s="1123"/>
      <c r="F56" s="1124"/>
      <c r="G56" s="65" t="e">
        <f>ROUND(SUM(G51:G55),2)</f>
        <v>#REF!</v>
      </c>
      <c r="H56" s="51"/>
      <c r="I56" s="29"/>
      <c r="J56" s="26"/>
    </row>
    <row r="57" spans="1:10" ht="22" customHeight="1">
      <c r="A57" s="1114" t="s">
        <v>81</v>
      </c>
      <c r="B57" s="1115"/>
      <c r="C57" s="1115"/>
      <c r="D57" s="1115"/>
      <c r="E57" s="1115"/>
      <c r="F57" s="1116"/>
      <c r="G57" s="39" t="e">
        <f>ROUND(SUM(G56,G47,G35),2)</f>
        <v>#REF!</v>
      </c>
      <c r="I57" s="86"/>
      <c r="J57" s="26"/>
    </row>
    <row r="58" spans="1:10" ht="6.75" customHeight="1">
      <c r="A58" s="25"/>
      <c r="B58" s="40"/>
      <c r="C58" s="40"/>
      <c r="D58" s="40"/>
      <c r="E58" s="40"/>
      <c r="F58" s="40"/>
      <c r="G58" s="40"/>
      <c r="H58" s="14"/>
      <c r="I58" s="14"/>
      <c r="J58" s="26"/>
    </row>
    <row r="59" spans="1:10" s="41" customFormat="1" ht="21.65" customHeight="1">
      <c r="A59" s="1128" t="s">
        <v>82</v>
      </c>
      <c r="B59" s="1128"/>
      <c r="C59" s="1128"/>
      <c r="D59" s="1128"/>
      <c r="E59" s="1128"/>
      <c r="F59" s="1128"/>
      <c r="G59" s="1128"/>
      <c r="H59" s="15"/>
      <c r="I59" s="15"/>
    </row>
    <row r="60" spans="1:10" s="41" customFormat="1" ht="43" customHeight="1">
      <c r="A60" s="1175"/>
      <c r="B60" s="1175"/>
      <c r="C60" s="1175"/>
      <c r="D60" s="1175"/>
      <c r="E60" s="1175"/>
      <c r="F60" s="1175"/>
      <c r="G60" s="30" t="s">
        <v>220</v>
      </c>
      <c r="H60" s="93"/>
      <c r="I60" s="93"/>
    </row>
    <row r="61" spans="1:10" s="41" customFormat="1" ht="19.5" customHeight="1">
      <c r="A61" s="1175"/>
      <c r="B61" s="1175"/>
      <c r="C61" s="1175"/>
      <c r="D61" s="1175"/>
      <c r="E61" s="1175"/>
      <c r="F61" s="1175"/>
      <c r="G61" s="90" t="s">
        <v>14</v>
      </c>
      <c r="H61" s="126"/>
      <c r="I61" s="126"/>
    </row>
    <row r="62" spans="1:10" ht="19.5" customHeight="1">
      <c r="A62" s="1168" t="s">
        <v>4</v>
      </c>
      <c r="B62" s="1170" t="s">
        <v>35</v>
      </c>
      <c r="C62" s="1171"/>
      <c r="D62" s="1171"/>
      <c r="E62" s="1171"/>
      <c r="F62" s="1172"/>
      <c r="G62" s="1173" t="e">
        <f>ROUND(((G27+G33+G34+G98)/12)*(30/30)*$E$63,2)</f>
        <v>#REF!</v>
      </c>
      <c r="I62" s="1148"/>
    </row>
    <row r="63" spans="1:10" ht="66.650000000000006" customHeight="1">
      <c r="A63" s="1169"/>
      <c r="B63" s="1155" t="s">
        <v>190</v>
      </c>
      <c r="C63" s="1155"/>
      <c r="D63" s="1155"/>
      <c r="E63" s="1174">
        <v>4.2000000000000003E-2</v>
      </c>
      <c r="F63" s="1174"/>
      <c r="G63" s="1173"/>
      <c r="H63" s="128"/>
      <c r="I63" s="1148"/>
    </row>
    <row r="64" spans="1:10" ht="19.5" customHeight="1">
      <c r="A64" s="124" t="s">
        <v>5</v>
      </c>
      <c r="B64" s="3" t="s">
        <v>83</v>
      </c>
      <c r="C64" s="4"/>
      <c r="D64" s="4"/>
      <c r="E64" s="4"/>
      <c r="F64" s="4"/>
      <c r="G64" s="127" t="e">
        <f>ROUND(G62*0.08,2)</f>
        <v>#REF!</v>
      </c>
      <c r="I64" s="128"/>
    </row>
    <row r="65" spans="1:10" ht="31" customHeight="1">
      <c r="A65" s="124" t="s">
        <v>6</v>
      </c>
      <c r="B65" s="1155" t="s">
        <v>189</v>
      </c>
      <c r="C65" s="1155"/>
      <c r="D65" s="1155"/>
      <c r="E65" s="1155"/>
      <c r="F65" s="1155"/>
      <c r="G65" s="127" t="e">
        <f>ROUND((((G27+G33+G34+G98)/30)/12)*7*1,2)</f>
        <v>#REF!</v>
      </c>
      <c r="I65" s="128"/>
    </row>
    <row r="66" spans="1:10" ht="19.5" customHeight="1">
      <c r="A66" s="124" t="s">
        <v>7</v>
      </c>
      <c r="B66" s="1156" t="s">
        <v>84</v>
      </c>
      <c r="C66" s="1157"/>
      <c r="D66" s="1157"/>
      <c r="E66" s="1157"/>
      <c r="F66" s="1158"/>
      <c r="G66" s="127" t="e">
        <f>ROUND($F$47*G65,2)</f>
        <v>#REF!</v>
      </c>
      <c r="H66" s="128"/>
      <c r="I66" s="128"/>
    </row>
    <row r="67" spans="1:10" ht="19.5" customHeight="1">
      <c r="A67" s="124" t="s">
        <v>9</v>
      </c>
      <c r="B67" s="1156" t="s">
        <v>85</v>
      </c>
      <c r="C67" s="1157"/>
      <c r="D67" s="1157"/>
      <c r="E67" s="1157"/>
      <c r="F67" s="1158"/>
      <c r="G67" s="127" t="e">
        <f>ROUND(0.04*G27,2)</f>
        <v>#REF!</v>
      </c>
      <c r="H67" s="128"/>
      <c r="I67" s="128"/>
    </row>
    <row r="68" spans="1:10" ht="21.75" customHeight="1">
      <c r="A68" s="1159" t="s">
        <v>86</v>
      </c>
      <c r="B68" s="1160"/>
      <c r="C68" s="1160"/>
      <c r="D68" s="1160"/>
      <c r="E68" s="1160"/>
      <c r="F68" s="1161"/>
      <c r="G68" s="39" t="e">
        <f>ROUND(SUM(G62:G67),2)</f>
        <v>#REF!</v>
      </c>
      <c r="I68" s="94"/>
      <c r="J68" s="41"/>
    </row>
    <row r="69" spans="1:10" ht="6.75" customHeight="1">
      <c r="A69" s="91"/>
      <c r="B69" s="92"/>
      <c r="C69" s="92"/>
      <c r="D69" s="92"/>
      <c r="E69" s="92"/>
      <c r="F69" s="92"/>
      <c r="G69" s="92"/>
      <c r="H69" s="95"/>
      <c r="I69" s="95"/>
    </row>
    <row r="70" spans="1:10" ht="21.65" customHeight="1">
      <c r="A70" s="1128" t="s">
        <v>87</v>
      </c>
      <c r="B70" s="1128"/>
      <c r="C70" s="1128"/>
      <c r="D70" s="1128"/>
      <c r="E70" s="1128"/>
      <c r="F70" s="1128"/>
      <c r="G70" s="1128"/>
      <c r="H70" s="15"/>
      <c r="I70" s="15"/>
      <c r="J70" s="41"/>
    </row>
    <row r="71" spans="1:10" s="41" customFormat="1" ht="43" customHeight="1">
      <c r="A71" s="1162"/>
      <c r="B71" s="1163"/>
      <c r="C71" s="1163"/>
      <c r="D71" s="1163"/>
      <c r="E71" s="1163"/>
      <c r="F71" s="1164"/>
      <c r="G71" s="30" t="s">
        <v>220</v>
      </c>
      <c r="H71" s="93"/>
      <c r="I71" s="93"/>
    </row>
    <row r="72" spans="1:10" ht="19.5" customHeight="1">
      <c r="A72" s="1165"/>
      <c r="B72" s="1166"/>
      <c r="C72" s="1166"/>
      <c r="D72" s="1166"/>
      <c r="E72" s="1166"/>
      <c r="F72" s="1167"/>
      <c r="G72" s="125" t="s">
        <v>14</v>
      </c>
      <c r="I72" s="126"/>
    </row>
    <row r="73" spans="1:10" ht="31.5" customHeight="1">
      <c r="A73" s="1094" t="s">
        <v>4</v>
      </c>
      <c r="B73" s="1150" t="s">
        <v>191</v>
      </c>
      <c r="C73" s="122" t="s">
        <v>192</v>
      </c>
      <c r="D73" s="122" t="s">
        <v>193</v>
      </c>
      <c r="E73" s="122" t="s">
        <v>194</v>
      </c>
      <c r="F73" s="122" t="s">
        <v>195</v>
      </c>
      <c r="G73" s="1152" t="e">
        <f>ROUND(((($G$27+$G$57-$G$51-$G$52+$G$68)/30)*F74)/12,2)</f>
        <v>#REF!</v>
      </c>
      <c r="H73" s="1154"/>
      <c r="I73" s="1148"/>
    </row>
    <row r="74" spans="1:10" ht="19.5" customHeight="1">
      <c r="A74" s="1096"/>
      <c r="B74" s="1151"/>
      <c r="C74" s="96">
        <v>1</v>
      </c>
      <c r="D74" s="122">
        <v>1</v>
      </c>
      <c r="E74" s="97">
        <v>1</v>
      </c>
      <c r="F74" s="122">
        <f>C74*D74*E74</f>
        <v>1</v>
      </c>
      <c r="G74" s="1153"/>
      <c r="H74" s="1154"/>
      <c r="I74" s="1148"/>
    </row>
    <row r="75" spans="1:10" ht="35.25" customHeight="1">
      <c r="A75" s="1094" t="s">
        <v>5</v>
      </c>
      <c r="B75" s="1150" t="s">
        <v>196</v>
      </c>
      <c r="C75" s="161" t="s">
        <v>192</v>
      </c>
      <c r="D75" s="122" t="s">
        <v>193</v>
      </c>
      <c r="E75" s="122" t="s">
        <v>194</v>
      </c>
      <c r="F75" s="122" t="s">
        <v>195</v>
      </c>
      <c r="G75" s="1152" t="e">
        <f>ROUND(((($G$27+$G$57-$G$51-$G$52+$G$68)/30)*F76)/12,2)</f>
        <v>#REF!</v>
      </c>
      <c r="H75" s="1154"/>
      <c r="I75" s="1148"/>
    </row>
    <row r="76" spans="1:10" ht="19.5" customHeight="1">
      <c r="A76" s="1096"/>
      <c r="B76" s="1151"/>
      <c r="C76" s="96">
        <v>9.2200000000000004E-2</v>
      </c>
      <c r="D76" s="122">
        <v>15</v>
      </c>
      <c r="E76" s="97">
        <f>ROUND((252/365),4)</f>
        <v>0.69040000000000001</v>
      </c>
      <c r="F76" s="122">
        <f>ROUND(C76*D76*E76,4)</f>
        <v>0.95479999999999998</v>
      </c>
      <c r="G76" s="1153"/>
      <c r="H76" s="1154"/>
      <c r="I76" s="1148"/>
    </row>
    <row r="77" spans="1:10" ht="31.5" customHeight="1">
      <c r="A77" s="1094" t="s">
        <v>6</v>
      </c>
      <c r="B77" s="1150" t="s">
        <v>197</v>
      </c>
      <c r="C77" s="161" t="s">
        <v>192</v>
      </c>
      <c r="D77" s="122" t="s">
        <v>193</v>
      </c>
      <c r="E77" s="122" t="s">
        <v>194</v>
      </c>
      <c r="F77" s="122" t="s">
        <v>195</v>
      </c>
      <c r="G77" s="1152" t="e">
        <f t="shared" ref="G77" si="1">ROUND(((($G$27+$G$57-$G$51-$G$52+$G$68)/30)*F78)/12,2)</f>
        <v>#REF!</v>
      </c>
      <c r="H77" s="1154"/>
      <c r="I77" s="1148"/>
    </row>
    <row r="78" spans="1:10" ht="19.5" customHeight="1">
      <c r="A78" s="1096"/>
      <c r="B78" s="1151"/>
      <c r="C78" s="96">
        <v>1</v>
      </c>
      <c r="D78" s="122">
        <v>5</v>
      </c>
      <c r="E78" s="97">
        <f>ROUND((252/365),4)</f>
        <v>0.69040000000000001</v>
      </c>
      <c r="F78" s="122">
        <f>ROUND(C78*D78*E78,4)</f>
        <v>3.452</v>
      </c>
      <c r="G78" s="1153"/>
      <c r="H78" s="1154"/>
      <c r="I78" s="1148"/>
    </row>
    <row r="79" spans="1:10" ht="31.5" customHeight="1">
      <c r="A79" s="1094" t="s">
        <v>7</v>
      </c>
      <c r="B79" s="1150" t="s">
        <v>198</v>
      </c>
      <c r="C79" s="161" t="s">
        <v>192</v>
      </c>
      <c r="D79" s="122" t="s">
        <v>193</v>
      </c>
      <c r="E79" s="122" t="s">
        <v>194</v>
      </c>
      <c r="F79" s="122" t="s">
        <v>195</v>
      </c>
      <c r="G79" s="1152" t="e">
        <f t="shared" ref="G79" si="2">ROUND(((($G$27+$G$57-$G$51-$G$52+$G$68)/30)*F80)/12,2)</f>
        <v>#REF!</v>
      </c>
      <c r="H79" s="1154"/>
      <c r="I79" s="1148"/>
    </row>
    <row r="80" spans="1:10" ht="19.5" customHeight="1">
      <c r="A80" s="1096"/>
      <c r="B80" s="1151"/>
      <c r="C80" s="162">
        <v>0.13439999999999999</v>
      </c>
      <c r="D80" s="122">
        <v>2</v>
      </c>
      <c r="E80" s="97">
        <v>1</v>
      </c>
      <c r="F80" s="122">
        <f>ROUND(C80*D80*E80,4)</f>
        <v>0.26879999999999998</v>
      </c>
      <c r="G80" s="1153"/>
      <c r="H80" s="1154"/>
      <c r="I80" s="1148"/>
    </row>
    <row r="81" spans="1:10" ht="31.5" customHeight="1">
      <c r="A81" s="1094" t="s">
        <v>7</v>
      </c>
      <c r="B81" s="1150" t="s">
        <v>199</v>
      </c>
      <c r="C81" s="161" t="s">
        <v>192</v>
      </c>
      <c r="D81" s="122" t="s">
        <v>193</v>
      </c>
      <c r="E81" s="122" t="s">
        <v>194</v>
      </c>
      <c r="F81" s="122" t="s">
        <v>195</v>
      </c>
      <c r="G81" s="1152" t="e">
        <f t="shared" ref="G81" si="3">ROUND(((($G$27+$G$57-$G$51-$G$52+$G$68)/30)*F82)/12,2)</f>
        <v>#REF!</v>
      </c>
      <c r="H81" s="1154"/>
      <c r="I81" s="1148"/>
    </row>
    <row r="82" spans="1:10" ht="19.5" customHeight="1">
      <c r="A82" s="1096"/>
      <c r="B82" s="1151"/>
      <c r="C82" s="162">
        <v>3.0499999999999999E-2</v>
      </c>
      <c r="D82" s="122">
        <v>2</v>
      </c>
      <c r="E82" s="97">
        <f>ROUND((252/365),4)</f>
        <v>0.69040000000000001</v>
      </c>
      <c r="F82" s="122">
        <f>ROUND(C82*D82*E82,4)</f>
        <v>4.2099999999999999E-2</v>
      </c>
      <c r="G82" s="1153"/>
      <c r="H82" s="1154"/>
      <c r="I82" s="1148"/>
    </row>
    <row r="83" spans="1:10" ht="30.75" customHeight="1">
      <c r="A83" s="1094" t="s">
        <v>12</v>
      </c>
      <c r="B83" s="1150" t="s">
        <v>200</v>
      </c>
      <c r="C83" s="161" t="s">
        <v>192</v>
      </c>
      <c r="D83" s="122" t="s">
        <v>193</v>
      </c>
      <c r="E83" s="122" t="s">
        <v>194</v>
      </c>
      <c r="F83" s="122" t="s">
        <v>195</v>
      </c>
      <c r="G83" s="1152" t="e">
        <f t="shared" ref="G83" si="4">ROUND(((($G$27+$G$57-$G$51-$G$52+$G$68)/30)*F84)/12,2)</f>
        <v>#REF!</v>
      </c>
      <c r="H83" s="1154"/>
      <c r="I83" s="1148"/>
    </row>
    <row r="84" spans="1:10" ht="19.5" customHeight="1">
      <c r="A84" s="1096"/>
      <c r="B84" s="1151"/>
      <c r="C84" s="162">
        <v>1.18E-2</v>
      </c>
      <c r="D84" s="122">
        <v>3</v>
      </c>
      <c r="E84" s="97">
        <v>1</v>
      </c>
      <c r="F84" s="122">
        <f>ROUND(C84*D84*E84,4)</f>
        <v>3.5400000000000001E-2</v>
      </c>
      <c r="G84" s="1153"/>
      <c r="H84" s="1154"/>
      <c r="I84" s="1148"/>
    </row>
    <row r="85" spans="1:10" ht="30" customHeight="1">
      <c r="A85" s="1094" t="s">
        <v>13</v>
      </c>
      <c r="B85" s="1150" t="s">
        <v>201</v>
      </c>
      <c r="C85" s="161" t="s">
        <v>192</v>
      </c>
      <c r="D85" s="122" t="s">
        <v>193</v>
      </c>
      <c r="E85" s="122" t="s">
        <v>194</v>
      </c>
      <c r="F85" s="122" t="s">
        <v>195</v>
      </c>
      <c r="G85" s="1152" t="e">
        <f t="shared" ref="G85" si="5">ROUND(((($G$27+$G$57-$G$51-$G$52+$G$68)/30)*F86)/12,2)</f>
        <v>#REF!</v>
      </c>
      <c r="H85" s="1154"/>
      <c r="I85" s="1148"/>
    </row>
    <row r="86" spans="1:10" ht="19.5" customHeight="1">
      <c r="A86" s="1096"/>
      <c r="B86" s="1151"/>
      <c r="C86" s="162">
        <v>0.02</v>
      </c>
      <c r="D86" s="122">
        <v>1</v>
      </c>
      <c r="E86" s="97">
        <v>1</v>
      </c>
      <c r="F86" s="122">
        <f>ROUND(C86*D86*E86,4)</f>
        <v>0.02</v>
      </c>
      <c r="G86" s="1153"/>
      <c r="H86" s="1154"/>
      <c r="I86" s="1148"/>
    </row>
    <row r="87" spans="1:10" ht="33" customHeight="1">
      <c r="A87" s="1094" t="s">
        <v>24</v>
      </c>
      <c r="B87" s="1150" t="s">
        <v>202</v>
      </c>
      <c r="C87" s="161" t="s">
        <v>192</v>
      </c>
      <c r="D87" s="122" t="s">
        <v>193</v>
      </c>
      <c r="E87" s="122" t="s">
        <v>194</v>
      </c>
      <c r="F87" s="122" t="s">
        <v>195</v>
      </c>
      <c r="G87" s="1152" t="e">
        <f t="shared" ref="G87" si="6">ROUND(((($G$27+$G$57-$G$51-$G$52+$G$68)/30)*F88)/12,2)</f>
        <v>#REF!</v>
      </c>
      <c r="H87" s="1154"/>
      <c r="I87" s="1148"/>
    </row>
    <row r="88" spans="1:10" ht="19.5" customHeight="1">
      <c r="A88" s="1096"/>
      <c r="B88" s="1151"/>
      <c r="C88" s="162">
        <v>4.0000000000000001E-3</v>
      </c>
      <c r="D88" s="122">
        <v>1</v>
      </c>
      <c r="E88" s="97">
        <v>1</v>
      </c>
      <c r="F88" s="122">
        <f>ROUND(C88*D88*E88,4)</f>
        <v>4.0000000000000001E-3</v>
      </c>
      <c r="G88" s="1153"/>
      <c r="H88" s="1154"/>
      <c r="I88" s="1148"/>
    </row>
    <row r="89" spans="1:10" ht="35.25" customHeight="1">
      <c r="A89" s="1094" t="s">
        <v>67</v>
      </c>
      <c r="B89" s="1150" t="s">
        <v>203</v>
      </c>
      <c r="C89" s="161" t="s">
        <v>192</v>
      </c>
      <c r="D89" s="122" t="s">
        <v>193</v>
      </c>
      <c r="E89" s="122" t="s">
        <v>194</v>
      </c>
      <c r="F89" s="122" t="s">
        <v>195</v>
      </c>
      <c r="G89" s="1152" t="e">
        <f>ROUND(((($G$27+$G$57-$G$51-$G$52+$G$68)/30)*F90)/12,2)</f>
        <v>#REF!</v>
      </c>
      <c r="I89" s="1148"/>
    </row>
    <row r="90" spans="1:10" ht="19.5" customHeight="1">
      <c r="A90" s="1096"/>
      <c r="B90" s="1151"/>
      <c r="C90" s="96">
        <v>1.43E-2</v>
      </c>
      <c r="D90" s="122">
        <v>5</v>
      </c>
      <c r="E90" s="97">
        <f>ROUND((252/365),4)</f>
        <v>0.69040000000000001</v>
      </c>
      <c r="F90" s="122">
        <f>ROUND(C90*D90*E90,4)</f>
        <v>4.9399999999999999E-2</v>
      </c>
      <c r="G90" s="1153"/>
      <c r="H90" s="135"/>
      <c r="I90" s="1148"/>
    </row>
    <row r="91" spans="1:10" ht="30.75" customHeight="1">
      <c r="A91" s="1094" t="s">
        <v>204</v>
      </c>
      <c r="B91" s="1150" t="s">
        <v>205</v>
      </c>
      <c r="C91" s="161" t="s">
        <v>192</v>
      </c>
      <c r="D91" s="122" t="s">
        <v>193</v>
      </c>
      <c r="E91" s="122" t="s">
        <v>194</v>
      </c>
      <c r="F91" s="122" t="s">
        <v>195</v>
      </c>
      <c r="G91" s="1152" t="e">
        <f>(((G34+G98)+(F47*(G34+G98))+(F46*G27)+(F47*G33)+(G57-G51-G52)+G68)/30)*F92/12</f>
        <v>#REF!</v>
      </c>
      <c r="H91" s="1154"/>
      <c r="I91" s="1148"/>
    </row>
    <row r="92" spans="1:10" ht="19.5" customHeight="1">
      <c r="A92" s="1096"/>
      <c r="B92" s="1151"/>
      <c r="C92" s="96">
        <v>1.9699999999999999E-2</v>
      </c>
      <c r="D92" s="122">
        <v>120</v>
      </c>
      <c r="E92" s="97">
        <f>ROUND((252/365),4)</f>
        <v>0.69040000000000001</v>
      </c>
      <c r="F92" s="122">
        <f>ROUND(C92*D92*E92,4)</f>
        <v>1.6321000000000001</v>
      </c>
      <c r="G92" s="1153"/>
      <c r="H92" s="1154"/>
      <c r="I92" s="1148"/>
    </row>
    <row r="93" spans="1:10" ht="32.25" customHeight="1">
      <c r="A93" s="1149" t="s">
        <v>206</v>
      </c>
      <c r="B93" s="1150" t="s">
        <v>207</v>
      </c>
      <c r="C93" s="161" t="s">
        <v>192</v>
      </c>
      <c r="D93" s="122" t="s">
        <v>193</v>
      </c>
      <c r="E93" s="122" t="s">
        <v>194</v>
      </c>
      <c r="F93" s="122" t="s">
        <v>195</v>
      </c>
      <c r="G93" s="1152" t="e">
        <f>ROUND(((($G$27+$G$57-$G$51-$G$52+$G$68)/30)*F94)/12,2)</f>
        <v>#REF!</v>
      </c>
      <c r="I93" s="1148"/>
    </row>
    <row r="94" spans="1:10" ht="19.5" customHeight="1">
      <c r="A94" s="1149"/>
      <c r="B94" s="1151"/>
      <c r="C94" s="162">
        <v>1.6000000000000001E-3</v>
      </c>
      <c r="D94" s="122">
        <v>6</v>
      </c>
      <c r="E94" s="97">
        <v>1</v>
      </c>
      <c r="F94" s="122">
        <f>ROUND(C94*D94*E94,4)</f>
        <v>9.5999999999999992E-3</v>
      </c>
      <c r="G94" s="1153"/>
      <c r="H94" s="135"/>
      <c r="I94" s="1148"/>
      <c r="J94" s="41"/>
    </row>
    <row r="95" spans="1:10" ht="19.5" customHeight="1">
      <c r="A95" s="134" t="s">
        <v>208</v>
      </c>
      <c r="B95" s="98" t="s">
        <v>209</v>
      </c>
      <c r="C95" s="99"/>
      <c r="D95" s="99"/>
      <c r="E95" s="99"/>
      <c r="F95" s="99"/>
      <c r="G95" s="100"/>
      <c r="H95" s="107"/>
      <c r="I95" s="128"/>
    </row>
    <row r="96" spans="1:10" ht="19.5" customHeight="1">
      <c r="A96" s="1135" t="s">
        <v>88</v>
      </c>
      <c r="B96" s="1136"/>
      <c r="C96" s="1136"/>
      <c r="D96" s="1136"/>
      <c r="E96" s="1136"/>
      <c r="F96" s="1137"/>
      <c r="G96" s="101" t="e">
        <f>SUM(G73:G95)</f>
        <v>#REF!</v>
      </c>
      <c r="I96" s="108"/>
      <c r="J96" s="41"/>
    </row>
    <row r="97" spans="1:10" ht="19.5" customHeight="1">
      <c r="A97" s="129" t="s">
        <v>210</v>
      </c>
      <c r="B97" s="3" t="s">
        <v>89</v>
      </c>
      <c r="C97" s="4"/>
      <c r="D97" s="4"/>
      <c r="E97" s="4"/>
      <c r="F97" s="4"/>
      <c r="G97" s="127" t="e">
        <f>ROUND($F$47*(G96-G91),2)</f>
        <v>#REF!</v>
      </c>
      <c r="H97" s="128"/>
      <c r="I97" s="128"/>
      <c r="J97" s="41"/>
    </row>
    <row r="98" spans="1:10" ht="18.75" customHeight="1">
      <c r="A98" s="129" t="s">
        <v>211</v>
      </c>
      <c r="B98" s="1138" t="s">
        <v>90</v>
      </c>
      <c r="C98" s="1139"/>
      <c r="D98" s="1140"/>
      <c r="E98" s="1141">
        <v>9.0749999999999997E-2</v>
      </c>
      <c r="F98" s="1142"/>
      <c r="G98" s="127" t="e">
        <f>ROUND($E$98*G27,2)</f>
        <v>#REF!</v>
      </c>
      <c r="H98" s="128"/>
      <c r="I98" s="128"/>
    </row>
    <row r="99" spans="1:10" ht="33.75" customHeight="1">
      <c r="A99" s="129" t="s">
        <v>212</v>
      </c>
      <c r="B99" s="1143" t="s">
        <v>26</v>
      </c>
      <c r="C99" s="1144"/>
      <c r="D99" s="1145"/>
      <c r="E99" s="1146">
        <f>F47*(F35+E98)</f>
        <v>7.3499999999999996E-2</v>
      </c>
      <c r="F99" s="1147"/>
      <c r="G99" s="127" t="e">
        <f>ROUND($E$99*G27,2)</f>
        <v>#REF!</v>
      </c>
      <c r="H99" s="128"/>
      <c r="I99" s="128"/>
      <c r="J99" s="41"/>
    </row>
    <row r="100" spans="1:10" ht="19.5" customHeight="1">
      <c r="A100" s="1122" t="s">
        <v>91</v>
      </c>
      <c r="B100" s="1123"/>
      <c r="C100" s="1123"/>
      <c r="D100" s="1123"/>
      <c r="E100" s="1123"/>
      <c r="F100" s="1124"/>
      <c r="G100" s="67" t="e">
        <f>SUM(G96:G99)</f>
        <v>#REF!</v>
      </c>
      <c r="I100" s="108"/>
      <c r="J100" s="41"/>
    </row>
    <row r="101" spans="1:10" ht="4.5" customHeight="1">
      <c r="A101" s="87"/>
      <c r="B101" s="42"/>
      <c r="C101" s="42"/>
      <c r="D101" s="42"/>
      <c r="E101" s="42"/>
      <c r="F101" s="42"/>
      <c r="G101" s="42"/>
      <c r="H101" s="51"/>
      <c r="I101" s="51"/>
    </row>
    <row r="102" spans="1:10" ht="18.75" customHeight="1">
      <c r="A102" s="1121" t="s">
        <v>92</v>
      </c>
      <c r="B102" s="1121"/>
      <c r="C102" s="1121"/>
      <c r="D102" s="1121"/>
      <c r="E102" s="1121"/>
      <c r="F102" s="1121"/>
      <c r="G102" s="1121"/>
      <c r="H102" s="51"/>
      <c r="I102" s="51"/>
    </row>
    <row r="103" spans="1:10" ht="19.5" customHeight="1">
      <c r="A103" s="102"/>
      <c r="B103" s="103"/>
      <c r="C103" s="103"/>
      <c r="D103" s="103"/>
      <c r="E103" s="103"/>
      <c r="F103" s="103"/>
      <c r="G103" s="147" t="s">
        <v>14</v>
      </c>
      <c r="H103" s="126"/>
      <c r="I103" s="126"/>
    </row>
    <row r="104" spans="1:10" ht="19.5" customHeight="1">
      <c r="A104" s="124" t="s">
        <v>4</v>
      </c>
      <c r="B104" s="3" t="s">
        <v>93</v>
      </c>
      <c r="C104" s="4"/>
      <c r="D104" s="4"/>
      <c r="E104" s="4"/>
      <c r="F104" s="4"/>
      <c r="G104" s="127">
        <v>0</v>
      </c>
      <c r="H104" s="128"/>
      <c r="I104" s="128"/>
    </row>
    <row r="105" spans="1:10" ht="19.5" customHeight="1">
      <c r="A105" s="1122" t="s">
        <v>94</v>
      </c>
      <c r="B105" s="1123"/>
      <c r="C105" s="1123"/>
      <c r="D105" s="1123"/>
      <c r="E105" s="1123"/>
      <c r="F105" s="1124"/>
      <c r="G105" s="65">
        <f>G104</f>
        <v>0</v>
      </c>
      <c r="H105" s="108"/>
      <c r="I105" s="108"/>
    </row>
    <row r="106" spans="1:10" ht="5.25" customHeight="1">
      <c r="A106" s="104"/>
      <c r="B106" s="105"/>
      <c r="C106" s="105"/>
      <c r="D106" s="105"/>
      <c r="E106" s="105"/>
      <c r="F106" s="105"/>
      <c r="G106" s="105"/>
      <c r="H106" s="95"/>
      <c r="I106" s="95"/>
    </row>
    <row r="107" spans="1:10" ht="21.65" customHeight="1">
      <c r="A107" s="1125" t="s">
        <v>95</v>
      </c>
      <c r="B107" s="1126"/>
      <c r="C107" s="1126"/>
      <c r="D107" s="1126"/>
      <c r="E107" s="1126"/>
      <c r="F107" s="1127"/>
      <c r="G107" s="106" t="e">
        <f>ROUND(G105+G100,2)</f>
        <v>#REF!</v>
      </c>
      <c r="I107" s="109"/>
      <c r="J107" s="41"/>
    </row>
    <row r="108" spans="1:10" ht="6.75" customHeight="1">
      <c r="A108" s="25"/>
      <c r="B108" s="40"/>
      <c r="C108" s="40"/>
      <c r="D108" s="40"/>
      <c r="E108" s="40"/>
      <c r="F108" s="40"/>
      <c r="G108" s="40"/>
      <c r="H108" s="14"/>
      <c r="I108" s="14"/>
    </row>
    <row r="109" spans="1:10" ht="21.65" customHeight="1">
      <c r="A109" s="1128" t="s">
        <v>96</v>
      </c>
      <c r="B109" s="1128"/>
      <c r="C109" s="1128"/>
      <c r="D109" s="1128"/>
      <c r="E109" s="1128"/>
      <c r="F109" s="1128"/>
      <c r="G109" s="1128"/>
      <c r="H109" s="15"/>
      <c r="I109" s="15"/>
    </row>
    <row r="110" spans="1:10" s="41" customFormat="1" ht="43" customHeight="1">
      <c r="A110" s="1129"/>
      <c r="B110" s="1130"/>
      <c r="C110" s="1130"/>
      <c r="D110" s="1130"/>
      <c r="E110" s="1130"/>
      <c r="F110" s="1131"/>
      <c r="G110" s="30" t="s">
        <v>220</v>
      </c>
    </row>
    <row r="111" spans="1:10" s="41" customFormat="1" ht="19.5" customHeight="1">
      <c r="A111" s="1132"/>
      <c r="B111" s="1133"/>
      <c r="C111" s="1133"/>
      <c r="D111" s="1133"/>
      <c r="E111" s="1133"/>
      <c r="F111" s="1134"/>
      <c r="G111" s="44" t="s">
        <v>14</v>
      </c>
    </row>
    <row r="112" spans="1:10" ht="19.5" customHeight="1">
      <c r="A112" s="144" t="s">
        <v>97</v>
      </c>
      <c r="B112" s="1108" t="s">
        <v>98</v>
      </c>
      <c r="C112" s="1109"/>
      <c r="D112" s="1109"/>
      <c r="E112" s="1109"/>
      <c r="F112" s="1110"/>
      <c r="G112" s="138" t="e">
        <f>Uniforme!#REF!</f>
        <v>#REF!</v>
      </c>
      <c r="H112" s="13"/>
      <c r="I112" s="110"/>
    </row>
    <row r="113" spans="1:9" s="24" customFormat="1" ht="19.5" customHeight="1">
      <c r="A113" s="144" t="s">
        <v>5</v>
      </c>
      <c r="B113" s="1108" t="s">
        <v>272</v>
      </c>
      <c r="C113" s="1109"/>
      <c r="D113" s="1109"/>
      <c r="E113" s="1109"/>
      <c r="F113" s="1110"/>
      <c r="G113" s="138">
        <f>Insumos!$G$77</f>
        <v>29</v>
      </c>
      <c r="H113" s="13"/>
      <c r="I113" s="110"/>
    </row>
    <row r="114" spans="1:9" ht="19.5" customHeight="1">
      <c r="A114" s="124" t="s">
        <v>6</v>
      </c>
      <c r="B114" s="1111" t="s">
        <v>70</v>
      </c>
      <c r="C114" s="1112"/>
      <c r="D114" s="1112"/>
      <c r="E114" s="1112"/>
      <c r="F114" s="1113"/>
      <c r="G114" s="33"/>
      <c r="H114" s="13"/>
      <c r="I114" s="27"/>
    </row>
    <row r="115" spans="1:9" ht="22" customHeight="1">
      <c r="A115" s="1114" t="s">
        <v>99</v>
      </c>
      <c r="B115" s="1115"/>
      <c r="C115" s="1115"/>
      <c r="D115" s="1115"/>
      <c r="E115" s="1115"/>
      <c r="F115" s="1116"/>
      <c r="G115" s="39" t="e">
        <f>ROUND(SUM(G112:G114),2)</f>
        <v>#REF!</v>
      </c>
      <c r="I115" s="111"/>
    </row>
    <row r="116" spans="1:9" ht="6.75" customHeight="1">
      <c r="A116" s="25"/>
      <c r="B116" s="40"/>
      <c r="C116" s="40"/>
      <c r="D116" s="40"/>
      <c r="E116" s="40"/>
      <c r="F116" s="40"/>
      <c r="G116" s="40"/>
      <c r="H116" s="14"/>
      <c r="I116" s="14"/>
    </row>
    <row r="117" spans="1:9" ht="23.25" customHeight="1">
      <c r="A117" s="1117" t="s">
        <v>100</v>
      </c>
      <c r="B117" s="1117"/>
      <c r="C117" s="1117"/>
      <c r="D117" s="1117"/>
      <c r="E117" s="1117"/>
      <c r="F117" s="1117"/>
      <c r="G117" s="1117"/>
    </row>
    <row r="118" spans="1:9" ht="49" customHeight="1">
      <c r="A118" s="132"/>
      <c r="B118" s="133"/>
      <c r="C118" s="133"/>
      <c r="D118" s="133"/>
      <c r="E118" s="133"/>
      <c r="F118" s="133"/>
      <c r="G118" s="30" t="s">
        <v>220</v>
      </c>
    </row>
    <row r="119" spans="1:9" ht="19.5" customHeight="1">
      <c r="A119" s="1118"/>
      <c r="B119" s="1119"/>
      <c r="C119" s="1119"/>
      <c r="D119" s="1119"/>
      <c r="E119" s="1119"/>
      <c r="F119" s="1120"/>
      <c r="G119" s="44" t="s">
        <v>14</v>
      </c>
      <c r="H119" s="41"/>
    </row>
    <row r="120" spans="1:9" ht="19.5" customHeight="1">
      <c r="A120" s="136" t="s">
        <v>4</v>
      </c>
      <c r="B120" s="1091" t="s">
        <v>101</v>
      </c>
      <c r="C120" s="1092"/>
      <c r="D120" s="1092"/>
      <c r="E120" s="1092"/>
      <c r="F120" s="1093"/>
      <c r="G120" s="85" t="e">
        <f>ROUND((G27+G57+G68+G107+G115)*'Benefícios e Outros Dados'!$K$24,2)</f>
        <v>#REF!</v>
      </c>
    </row>
    <row r="121" spans="1:9" ht="19.5" customHeight="1">
      <c r="A121" s="136" t="s">
        <v>5</v>
      </c>
      <c r="B121" s="1091" t="s">
        <v>48</v>
      </c>
      <c r="C121" s="1092"/>
      <c r="D121" s="1092"/>
      <c r="E121" s="1092"/>
      <c r="F121" s="1093"/>
      <c r="G121" s="85" t="e">
        <f>ROUND((G27+G57+G68+G107+G115+G120)*'Benefícios e Outros Dados'!$K$25,2)</f>
        <v>#REF!</v>
      </c>
    </row>
    <row r="122" spans="1:9" ht="19.5" customHeight="1">
      <c r="A122" s="1094" t="s">
        <v>6</v>
      </c>
      <c r="B122" s="1094" t="s">
        <v>102</v>
      </c>
      <c r="C122" s="1097" t="s">
        <v>103</v>
      </c>
      <c r="D122" s="1098"/>
      <c r="E122" s="1103" t="s">
        <v>52</v>
      </c>
      <c r="F122" s="1104"/>
      <c r="G122" s="85" t="e">
        <f>ROUND((($G$27+$G$57+$G$68+$G$107+$G$115+$G$120+$G$121)/(1-'Benefícios e Outros Dados'!K32))*'Benefícios e Outros Dados'!K27,2)</f>
        <v>#REF!</v>
      </c>
    </row>
    <row r="123" spans="1:9" ht="19.5" customHeight="1">
      <c r="A123" s="1095"/>
      <c r="B123" s="1095"/>
      <c r="C123" s="1099"/>
      <c r="D123" s="1100"/>
      <c r="E123" s="1103" t="s">
        <v>53</v>
      </c>
      <c r="F123" s="1104"/>
      <c r="G123" s="85" t="e">
        <f>ROUND((($G$27+$G$57+$G$68+$G$107+$G$115+$G$120+$G$121)/(1-'Benefícios e Outros Dados'!K32))*'Benefícios e Outros Dados'!K28,2)</f>
        <v>#REF!</v>
      </c>
    </row>
    <row r="124" spans="1:9" ht="19.5" customHeight="1">
      <c r="A124" s="1095"/>
      <c r="B124" s="1095"/>
      <c r="C124" s="1101"/>
      <c r="D124" s="1102"/>
      <c r="E124" s="1103" t="s">
        <v>104</v>
      </c>
      <c r="F124" s="1104"/>
      <c r="G124" s="85" t="e">
        <f>ROUND((($G$27+$G$57+$G$68+$G$107+$G$115+$G$120+$G$121)/(1-'Benefícios e Outros Dados'!K32))*'Benefícios e Outros Dados'!K29,2)</f>
        <v>#REF!</v>
      </c>
    </row>
    <row r="125" spans="1:9" ht="19.5" customHeight="1">
      <c r="A125" s="1095"/>
      <c r="B125" s="1095"/>
      <c r="C125" s="1105" t="s">
        <v>105</v>
      </c>
      <c r="D125" s="1106"/>
      <c r="E125" s="1103" t="s">
        <v>106</v>
      </c>
      <c r="F125" s="1104"/>
      <c r="G125" s="85" t="e">
        <f>ROUND((($G$27+$G$57+$G$68+$G$107+$G$115+$G$120+$G$121)/(1-'Benefícios e Outros Dados'!K32))*'Benefícios e Outros Dados'!K31,2)</f>
        <v>#REF!</v>
      </c>
    </row>
    <row r="126" spans="1:9" ht="19.5" customHeight="1">
      <c r="A126" s="1095"/>
      <c r="B126" s="1095"/>
      <c r="C126" s="1103" t="s">
        <v>104</v>
      </c>
      <c r="D126" s="1107"/>
      <c r="E126" s="1107"/>
      <c r="F126" s="1104"/>
      <c r="G126" s="85" t="e">
        <f>ROUND((($G$27+$G$57+$G$68+$G$107+$G$115+$G$120+$G$121)/(1-'Benefícios e Outros Dados'!K32))*'Benefícios e Outros Dados'!K30,2)</f>
        <v>#REF!</v>
      </c>
    </row>
    <row r="127" spans="1:9" ht="19.5" customHeight="1">
      <c r="A127" s="1096"/>
      <c r="B127" s="1077" t="s">
        <v>213</v>
      </c>
      <c r="C127" s="1078"/>
      <c r="D127" s="1078"/>
      <c r="E127" s="1078"/>
      <c r="F127" s="1079"/>
      <c r="G127" s="112" t="e">
        <f>SUM(G122,G123,G124,G125,G126)</f>
        <v>#REF!</v>
      </c>
    </row>
    <row r="128" spans="1:9" ht="21.65" customHeight="1">
      <c r="A128" s="1080" t="s">
        <v>107</v>
      </c>
      <c r="B128" s="1081"/>
      <c r="C128" s="1081"/>
      <c r="D128" s="1081"/>
      <c r="E128" s="1081"/>
      <c r="F128" s="1082"/>
      <c r="G128" s="113" t="e">
        <f>ROUND(SUM(G127,G121,G120),2)</f>
        <v>#REF!</v>
      </c>
    </row>
    <row r="129" spans="1:8" ht="15" customHeight="1">
      <c r="A129" s="1083"/>
      <c r="B129" s="1084"/>
      <c r="C129" s="1084"/>
      <c r="D129" s="1084"/>
      <c r="E129" s="1084"/>
      <c r="F129" s="1084"/>
      <c r="G129" s="1084"/>
    </row>
    <row r="130" spans="1:8" ht="23.25" customHeight="1">
      <c r="A130" s="1085" t="s">
        <v>108</v>
      </c>
      <c r="B130" s="1085"/>
      <c r="C130" s="1085"/>
      <c r="D130" s="1085"/>
      <c r="E130" s="1085"/>
      <c r="F130" s="1085"/>
      <c r="G130" s="1085"/>
    </row>
    <row r="131" spans="1:8" ht="45.65" customHeight="1">
      <c r="A131" s="114"/>
      <c r="B131" s="115"/>
      <c r="C131" s="115"/>
      <c r="D131" s="115"/>
      <c r="E131" s="115"/>
      <c r="F131" s="115"/>
      <c r="G131" s="30" t="s">
        <v>220</v>
      </c>
    </row>
    <row r="132" spans="1:8" ht="19.5" customHeight="1">
      <c r="A132" s="136" t="s">
        <v>4</v>
      </c>
      <c r="B132" s="116" t="s">
        <v>109</v>
      </c>
      <c r="C132" s="117"/>
      <c r="D132" s="117"/>
      <c r="E132" s="117"/>
      <c r="F132" s="117"/>
      <c r="G132" s="118" t="e">
        <f>G27</f>
        <v>#REF!</v>
      </c>
    </row>
    <row r="133" spans="1:8" ht="19.5" customHeight="1">
      <c r="A133" s="136" t="s">
        <v>5</v>
      </c>
      <c r="B133" s="116" t="s">
        <v>110</v>
      </c>
      <c r="C133" s="117"/>
      <c r="D133" s="117"/>
      <c r="E133" s="117"/>
      <c r="F133" s="117"/>
      <c r="G133" s="118" t="e">
        <f>G57</f>
        <v>#REF!</v>
      </c>
    </row>
    <row r="134" spans="1:8" ht="19.5" customHeight="1">
      <c r="A134" s="136" t="s">
        <v>6</v>
      </c>
      <c r="B134" s="116" t="s">
        <v>111</v>
      </c>
      <c r="C134" s="117"/>
      <c r="D134" s="117"/>
      <c r="E134" s="117"/>
      <c r="F134" s="117"/>
      <c r="G134" s="118" t="e">
        <f>G68</f>
        <v>#REF!</v>
      </c>
    </row>
    <row r="135" spans="1:8" ht="19.5" customHeight="1">
      <c r="A135" s="136" t="s">
        <v>7</v>
      </c>
      <c r="B135" s="116" t="s">
        <v>112</v>
      </c>
      <c r="C135" s="117"/>
      <c r="D135" s="117"/>
      <c r="E135" s="117"/>
      <c r="F135" s="117"/>
      <c r="G135" s="119" t="e">
        <f>G107</f>
        <v>#REF!</v>
      </c>
    </row>
    <row r="136" spans="1:8" ht="19.5" customHeight="1">
      <c r="A136" s="136" t="s">
        <v>9</v>
      </c>
      <c r="B136" s="116" t="s">
        <v>113</v>
      </c>
      <c r="C136" s="117"/>
      <c r="D136" s="117"/>
      <c r="E136" s="117"/>
      <c r="F136" s="117"/>
      <c r="G136" s="118" t="e">
        <f>G115</f>
        <v>#REF!</v>
      </c>
    </row>
    <row r="137" spans="1:8" ht="19.5" customHeight="1">
      <c r="A137" s="136" t="s">
        <v>12</v>
      </c>
      <c r="B137" s="116" t="s">
        <v>114</v>
      </c>
      <c r="C137" s="117"/>
      <c r="D137" s="117"/>
      <c r="E137" s="117"/>
      <c r="F137" s="117"/>
      <c r="G137" s="118" t="e">
        <f>G128</f>
        <v>#REF!</v>
      </c>
    </row>
    <row r="138" spans="1:8" ht="23.25" customHeight="1">
      <c r="A138" s="1086" t="s">
        <v>214</v>
      </c>
      <c r="B138" s="1087"/>
      <c r="C138" s="1087"/>
      <c r="D138" s="1087"/>
      <c r="E138" s="1087"/>
      <c r="F138" s="1088"/>
      <c r="G138" s="120" t="e">
        <f>ROUND(SUM(G132:G137),2)</f>
        <v>#REF!</v>
      </c>
      <c r="H138" s="160"/>
    </row>
    <row r="139" spans="1:8" ht="15" customHeight="1">
      <c r="A139" s="1089"/>
      <c r="B139" s="1090"/>
      <c r="C139" s="1090"/>
      <c r="D139" s="1090"/>
      <c r="E139" s="1090"/>
      <c r="F139" s="1090"/>
      <c r="G139" s="1090"/>
    </row>
  </sheetData>
  <mergeCells count="139">
    <mergeCell ref="A7:G7"/>
    <mergeCell ref="A8:G8"/>
    <mergeCell ref="A9:G9"/>
    <mergeCell ref="B10:F10"/>
    <mergeCell ref="B11:F11"/>
    <mergeCell ref="B12:F12"/>
    <mergeCell ref="A1:G1"/>
    <mergeCell ref="A2:G2"/>
    <mergeCell ref="A5:G5"/>
    <mergeCell ref="A6:G6"/>
    <mergeCell ref="A19:G19"/>
    <mergeCell ref="A20:G20"/>
    <mergeCell ref="A21:E22"/>
    <mergeCell ref="F21:F22"/>
    <mergeCell ref="B23:E23"/>
    <mergeCell ref="B25:E25"/>
    <mergeCell ref="B13:F13"/>
    <mergeCell ref="B14:F14"/>
    <mergeCell ref="B15:F15"/>
    <mergeCell ref="B16:F16"/>
    <mergeCell ref="B17:F17"/>
    <mergeCell ref="B18:F18"/>
    <mergeCell ref="B41:E41"/>
    <mergeCell ref="A47:E47"/>
    <mergeCell ref="A49:G49"/>
    <mergeCell ref="B51:F51"/>
    <mergeCell ref="B52:F52"/>
    <mergeCell ref="B53:F53"/>
    <mergeCell ref="B26:E26"/>
    <mergeCell ref="A27:F27"/>
    <mergeCell ref="A29:G29"/>
    <mergeCell ref="A31:G31"/>
    <mergeCell ref="A35:E35"/>
    <mergeCell ref="A37:G37"/>
    <mergeCell ref="A62:A63"/>
    <mergeCell ref="B62:F62"/>
    <mergeCell ref="G62:G63"/>
    <mergeCell ref="I62:I63"/>
    <mergeCell ref="B63:D63"/>
    <mergeCell ref="E63:F63"/>
    <mergeCell ref="B54:F54"/>
    <mergeCell ref="B55:F55"/>
    <mergeCell ref="A56:F56"/>
    <mergeCell ref="A57:F57"/>
    <mergeCell ref="A59:G59"/>
    <mergeCell ref="A60:F61"/>
    <mergeCell ref="A73:A74"/>
    <mergeCell ref="B73:B74"/>
    <mergeCell ref="G73:G74"/>
    <mergeCell ref="H73:H74"/>
    <mergeCell ref="I73:I74"/>
    <mergeCell ref="B65:F65"/>
    <mergeCell ref="B66:F66"/>
    <mergeCell ref="B67:F67"/>
    <mergeCell ref="A68:F68"/>
    <mergeCell ref="A70:G70"/>
    <mergeCell ref="A71:F72"/>
    <mergeCell ref="A77:A78"/>
    <mergeCell ref="B77:B78"/>
    <mergeCell ref="G77:G78"/>
    <mergeCell ref="H77:H78"/>
    <mergeCell ref="I77:I78"/>
    <mergeCell ref="A75:A76"/>
    <mergeCell ref="B75:B76"/>
    <mergeCell ref="G75:G76"/>
    <mergeCell ref="H75:H76"/>
    <mergeCell ref="I75:I76"/>
    <mergeCell ref="A81:A82"/>
    <mergeCell ref="B81:B82"/>
    <mergeCell ref="G81:G82"/>
    <mergeCell ref="H81:H82"/>
    <mergeCell ref="I81:I82"/>
    <mergeCell ref="A79:A80"/>
    <mergeCell ref="B79:B80"/>
    <mergeCell ref="G79:G80"/>
    <mergeCell ref="H79:H80"/>
    <mergeCell ref="I79:I80"/>
    <mergeCell ref="A85:A86"/>
    <mergeCell ref="B85:B86"/>
    <mergeCell ref="G85:G86"/>
    <mergeCell ref="H85:H86"/>
    <mergeCell ref="I85:I86"/>
    <mergeCell ref="A83:A84"/>
    <mergeCell ref="B83:B84"/>
    <mergeCell ref="G83:G84"/>
    <mergeCell ref="H83:H84"/>
    <mergeCell ref="I83:I84"/>
    <mergeCell ref="A89:A90"/>
    <mergeCell ref="B89:B90"/>
    <mergeCell ref="G89:G90"/>
    <mergeCell ref="I89:I90"/>
    <mergeCell ref="A91:A92"/>
    <mergeCell ref="B91:B92"/>
    <mergeCell ref="G91:G92"/>
    <mergeCell ref="H91:H92"/>
    <mergeCell ref="A87:A88"/>
    <mergeCell ref="B87:B88"/>
    <mergeCell ref="G87:G88"/>
    <mergeCell ref="H87:H88"/>
    <mergeCell ref="I87:I88"/>
    <mergeCell ref="A96:F96"/>
    <mergeCell ref="B98:D98"/>
    <mergeCell ref="E98:F98"/>
    <mergeCell ref="B99:D99"/>
    <mergeCell ref="E99:F99"/>
    <mergeCell ref="A100:F100"/>
    <mergeCell ref="I91:I92"/>
    <mergeCell ref="A93:A94"/>
    <mergeCell ref="B93:B94"/>
    <mergeCell ref="G93:G94"/>
    <mergeCell ref="I93:I94"/>
    <mergeCell ref="B113:F113"/>
    <mergeCell ref="B114:F114"/>
    <mergeCell ref="A115:F115"/>
    <mergeCell ref="A117:G117"/>
    <mergeCell ref="A119:F119"/>
    <mergeCell ref="B120:F120"/>
    <mergeCell ref="A102:G102"/>
    <mergeCell ref="A105:F105"/>
    <mergeCell ref="A107:F107"/>
    <mergeCell ref="A109:G109"/>
    <mergeCell ref="A110:F111"/>
    <mergeCell ref="B112:F112"/>
    <mergeCell ref="B127:F127"/>
    <mergeCell ref="A128:F128"/>
    <mergeCell ref="A129:G129"/>
    <mergeCell ref="A130:G130"/>
    <mergeCell ref="A138:F138"/>
    <mergeCell ref="A139:G139"/>
    <mergeCell ref="B121:F121"/>
    <mergeCell ref="A122:A127"/>
    <mergeCell ref="B122:B126"/>
    <mergeCell ref="C122:D124"/>
    <mergeCell ref="E122:F122"/>
    <mergeCell ref="E123:F123"/>
    <mergeCell ref="E124:F124"/>
    <mergeCell ref="C125:D125"/>
    <mergeCell ref="E125:F125"/>
    <mergeCell ref="C126:F126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81"/>
  <sheetViews>
    <sheetView showGridLines="0" zoomScale="85" zoomScaleNormal="85" workbookViewId="0">
      <pane xSplit="2" ySplit="2" topLeftCell="C13" activePane="bottomRight" state="frozen"/>
      <selection pane="topRight" activeCell="C1" sqref="C1"/>
      <selection pane="bottomLeft" activeCell="A3" sqref="A3"/>
      <selection pane="bottomRight" activeCell="A6" sqref="A6:R6"/>
    </sheetView>
  </sheetViews>
  <sheetFormatPr defaultColWidth="8.7265625" defaultRowHeight="14.5"/>
  <cols>
    <col min="1" max="1" width="12.54296875" style="180" customWidth="1"/>
    <col min="2" max="2" width="30.26953125" style="180" bestFit="1" customWidth="1"/>
    <col min="3" max="3" width="1.81640625" style="180" customWidth="1"/>
    <col min="4" max="4" width="15.1796875" style="180" customWidth="1"/>
    <col min="5" max="5" width="15.26953125" style="180" customWidth="1"/>
    <col min="6" max="6" width="18.81640625" style="180" customWidth="1"/>
    <col min="7" max="7" width="1.81640625" style="180" customWidth="1"/>
    <col min="8" max="8" width="15.1796875" style="180" customWidth="1"/>
    <col min="9" max="9" width="15.26953125" style="180" customWidth="1"/>
    <col min="10" max="10" width="16.7265625" style="180" customWidth="1"/>
    <col min="11" max="11" width="1.54296875" style="180" customWidth="1"/>
    <col min="12" max="12" width="14.81640625" style="180" customWidth="1"/>
    <col min="13" max="13" width="14.7265625" style="180" customWidth="1"/>
    <col min="14" max="14" width="17.54296875" style="180" customWidth="1"/>
    <col min="15" max="15" width="1.54296875" style="180" customWidth="1"/>
    <col min="16" max="16" width="15.54296875" style="180" customWidth="1"/>
    <col min="17" max="17" width="14.453125" style="180" customWidth="1"/>
    <col min="18" max="18" width="17.26953125" style="180" customWidth="1"/>
    <col min="19" max="19" width="8.453125" style="180" customWidth="1"/>
    <col min="20" max="20" width="6.54296875" style="180" customWidth="1"/>
    <col min="21" max="21" width="8" style="180" customWidth="1"/>
    <col min="22" max="22" width="10.453125" style="180" customWidth="1"/>
    <col min="23" max="23" width="14" style="180" customWidth="1"/>
    <col min="24" max="24" width="5.453125" style="180" customWidth="1"/>
    <col min="25" max="25" width="6.453125" style="180" customWidth="1"/>
    <col min="26" max="26" width="7.453125" style="180" customWidth="1"/>
    <col min="27" max="949" width="9.54296875" style="180" customWidth="1"/>
    <col min="950" max="1024" width="8.54296875" style="180" customWidth="1"/>
    <col min="1025" max="16384" width="8.7265625" style="180"/>
  </cols>
  <sheetData>
    <row r="1" spans="1:29" s="179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</row>
    <row r="2" spans="1:29" s="179" customFormat="1" ht="22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5"/>
    </row>
    <row r="3" spans="1:29" s="179" customFormat="1" ht="6" customHeight="1">
      <c r="A3" s="510"/>
      <c r="B3" s="352"/>
      <c r="C3" s="352"/>
      <c r="D3" s="352"/>
      <c r="E3" s="352"/>
      <c r="F3" s="352"/>
      <c r="G3" s="352"/>
      <c r="H3" s="352"/>
      <c r="I3" s="352"/>
      <c r="J3" s="352"/>
      <c r="K3" s="181"/>
      <c r="L3" s="252"/>
      <c r="M3" s="252"/>
      <c r="N3" s="352"/>
      <c r="O3" s="252"/>
      <c r="P3" s="252"/>
      <c r="Q3" s="252"/>
      <c r="R3" s="511"/>
    </row>
    <row r="4" spans="1:29" s="179" customFormat="1" ht="18" customHeight="1">
      <c r="A4" s="779" t="s">
        <v>1</v>
      </c>
      <c r="B4" s="779"/>
      <c r="C4" s="779"/>
      <c r="D4" s="779"/>
      <c r="E4" s="779"/>
      <c r="F4" s="779"/>
      <c r="G4" s="779"/>
      <c r="H4" s="779"/>
      <c r="I4" s="755" t="str">
        <f>CCT!J4</f>
        <v>10707.720194-2025-26</v>
      </c>
      <c r="J4" s="755"/>
      <c r="K4" s="755"/>
      <c r="L4" s="755"/>
      <c r="M4" s="755"/>
      <c r="N4" s="755"/>
      <c r="O4" s="755"/>
      <c r="P4" s="755"/>
      <c r="Q4" s="755"/>
      <c r="R4" s="755"/>
    </row>
    <row r="5" spans="1:2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181"/>
      <c r="N5" s="352"/>
      <c r="R5" s="352"/>
    </row>
    <row r="6" spans="1:2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2"/>
    </row>
    <row r="7" spans="1:29" ht="11.15" customHeigh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181"/>
      <c r="N7" s="354"/>
      <c r="R7" s="354"/>
    </row>
    <row r="8" spans="1:29" ht="22" customHeight="1">
      <c r="A8" s="1222" t="s">
        <v>162</v>
      </c>
      <c r="B8" s="1222"/>
      <c r="C8" s="1222"/>
      <c r="D8" s="1222"/>
      <c r="E8" s="1222"/>
      <c r="F8" s="1222"/>
      <c r="G8" s="1222"/>
      <c r="H8" s="1222"/>
      <c r="I8" s="1222"/>
      <c r="J8" s="1222"/>
      <c r="K8" s="1222"/>
      <c r="L8" s="1222"/>
      <c r="M8" s="1222"/>
      <c r="N8" s="1222"/>
      <c r="O8" s="1222"/>
      <c r="P8" s="1222"/>
      <c r="Q8" s="1222"/>
      <c r="R8" s="1222"/>
      <c r="S8" s="512"/>
      <c r="T8" s="512"/>
      <c r="U8" s="512"/>
      <c r="V8" s="512"/>
      <c r="W8" s="512"/>
      <c r="X8" s="512"/>
      <c r="Y8" s="512"/>
      <c r="Z8" s="512"/>
      <c r="AA8" s="512"/>
      <c r="AB8" s="189"/>
      <c r="AC8" s="189"/>
    </row>
    <row r="9" spans="1:29" s="189" customFormat="1" ht="8.5" customHeight="1">
      <c r="A9" s="513"/>
      <c r="B9" s="513"/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</row>
    <row r="10" spans="1:29" ht="18" customHeight="1">
      <c r="A10" s="834" t="s">
        <v>137</v>
      </c>
      <c r="B10" s="901" t="s">
        <v>147</v>
      </c>
      <c r="C10" s="514"/>
      <c r="D10" s="958" t="s">
        <v>139</v>
      </c>
      <c r="E10" s="959"/>
      <c r="F10" s="960"/>
      <c r="G10" s="253"/>
      <c r="H10" s="955" t="s">
        <v>150</v>
      </c>
      <c r="I10" s="956"/>
      <c r="J10" s="957"/>
      <c r="K10" s="185"/>
      <c r="L10" s="1219" t="s">
        <v>140</v>
      </c>
      <c r="M10" s="1220"/>
      <c r="N10" s="1221"/>
      <c r="P10" s="861" t="s">
        <v>141</v>
      </c>
      <c r="Q10" s="862"/>
      <c r="R10" s="863"/>
    </row>
    <row r="11" spans="1:29" ht="45" customHeight="1">
      <c r="A11" s="835"/>
      <c r="B11" s="901"/>
      <c r="C11" s="356"/>
      <c r="D11" s="357" t="s">
        <v>489</v>
      </c>
      <c r="E11" s="358" t="s">
        <v>218</v>
      </c>
      <c r="F11" s="267" t="s">
        <v>219</v>
      </c>
      <c r="G11" s="359"/>
      <c r="H11" s="357" t="s">
        <v>489</v>
      </c>
      <c r="I11" s="358" t="s">
        <v>218</v>
      </c>
      <c r="J11" s="267" t="s">
        <v>219</v>
      </c>
      <c r="K11" s="360"/>
      <c r="L11" s="403" t="s">
        <v>489</v>
      </c>
      <c r="M11" s="358" t="s">
        <v>218</v>
      </c>
      <c r="N11" s="267" t="s">
        <v>219</v>
      </c>
      <c r="O11" s="314"/>
      <c r="P11" s="362" t="s">
        <v>489</v>
      </c>
      <c r="Q11" s="264" t="s">
        <v>218</v>
      </c>
      <c r="R11" s="264" t="s">
        <v>219</v>
      </c>
    </row>
    <row r="12" spans="1:29" ht="18" customHeight="1">
      <c r="A12" s="835"/>
      <c r="B12" s="515" t="s">
        <v>126</v>
      </c>
      <c r="C12" s="363"/>
      <c r="D12" s="271"/>
      <c r="E12" s="271"/>
      <c r="F12" s="271"/>
      <c r="G12" s="359"/>
      <c r="H12" s="271"/>
      <c r="I12" s="271"/>
      <c r="J12" s="271"/>
      <c r="K12" s="360"/>
      <c r="L12" s="271"/>
      <c r="M12" s="271"/>
      <c r="N12" s="271"/>
      <c r="O12" s="314"/>
      <c r="P12" s="270"/>
      <c r="Q12" s="271"/>
      <c r="R12" s="272"/>
    </row>
    <row r="13" spans="1:29" ht="18" customHeight="1">
      <c r="A13" s="835"/>
      <c r="B13" s="347" t="s">
        <v>127</v>
      </c>
      <c r="C13" s="364"/>
      <c r="D13" s="398">
        <f>'Área - Produt - Servente'!E11</f>
        <v>616</v>
      </c>
      <c r="E13" s="472">
        <f>'Servente COM Adicional'!G144</f>
        <v>6835.65</v>
      </c>
      <c r="F13" s="516">
        <f>ROUND(E13/D13,2)</f>
        <v>11.1</v>
      </c>
      <c r="G13" s="359"/>
      <c r="H13" s="396">
        <f>'Área - Produt - Servente'!I11</f>
        <v>318.64</v>
      </c>
      <c r="I13" s="472">
        <f>'Servente COM Adicional'!G144</f>
        <v>6835.65</v>
      </c>
      <c r="J13" s="516">
        <f t="shared" ref="J13:J19" si="0">ROUND(I13/H13,2)</f>
        <v>21.45</v>
      </c>
      <c r="K13" s="360"/>
      <c r="L13" s="396">
        <f>'Área - Produt - Servente'!M11</f>
        <v>1895.66</v>
      </c>
      <c r="M13" s="472">
        <f>'Servente SEM Adicional'!H142</f>
        <v>6464.19</v>
      </c>
      <c r="N13" s="516">
        <f t="shared" ref="N13:N19" si="1">ROUND(M13/L13,2)</f>
        <v>3.41</v>
      </c>
      <c r="O13" s="314"/>
      <c r="P13" s="367">
        <f>'Área - Produt - Servente'!Q11</f>
        <v>1200</v>
      </c>
      <c r="Q13" s="472">
        <f>'Servente COM Adicional'!G144</f>
        <v>6835.65</v>
      </c>
      <c r="R13" s="472">
        <f t="shared" ref="R13:R15" si="2">ROUND(Q13/P13,2)</f>
        <v>5.7</v>
      </c>
    </row>
    <row r="14" spans="1:29" ht="30" customHeight="1">
      <c r="A14" s="835"/>
      <c r="B14" s="347" t="s">
        <v>129</v>
      </c>
      <c r="C14" s="364"/>
      <c r="D14" s="369">
        <f>'Área - Produt - Servente'!E12</f>
        <v>1500</v>
      </c>
      <c r="E14" s="472">
        <f>E13</f>
        <v>6835.65</v>
      </c>
      <c r="F14" s="516">
        <f>ROUND(E14/D14,2)</f>
        <v>4.5599999999999996</v>
      </c>
      <c r="G14" s="359"/>
      <c r="H14" s="369">
        <f>'Área - Produt - Servente'!I12</f>
        <v>1500</v>
      </c>
      <c r="I14" s="517">
        <f>I13</f>
        <v>6835.65</v>
      </c>
      <c r="J14" s="516">
        <f t="shared" si="0"/>
        <v>4.5599999999999996</v>
      </c>
      <c r="K14" s="360"/>
      <c r="L14" s="369">
        <f>'Área - Produt - Servente'!M12</f>
        <v>1500</v>
      </c>
      <c r="M14" s="517">
        <f>M13</f>
        <v>6464.19</v>
      </c>
      <c r="N14" s="516">
        <f t="shared" si="1"/>
        <v>4.3099999999999996</v>
      </c>
      <c r="O14" s="314"/>
      <c r="P14" s="348">
        <f>'Área - Produt - Servente'!Q12</f>
        <v>1500</v>
      </c>
      <c r="Q14" s="517">
        <f>Q13</f>
        <v>6835.65</v>
      </c>
      <c r="R14" s="472">
        <f t="shared" si="2"/>
        <v>4.5599999999999996</v>
      </c>
    </row>
    <row r="15" spans="1:29" ht="18" customHeight="1">
      <c r="A15" s="835"/>
      <c r="B15" s="370" t="s">
        <v>281</v>
      </c>
      <c r="C15" s="372"/>
      <c r="D15" s="373">
        <f>'Área - Produt - Servente'!E13</f>
        <v>300</v>
      </c>
      <c r="E15" s="518">
        <f>E13</f>
        <v>6835.65</v>
      </c>
      <c r="F15" s="519">
        <f>ROUND(E15/D15,2)</f>
        <v>22.79</v>
      </c>
      <c r="G15" s="359"/>
      <c r="H15" s="373">
        <f>'Área - Produt - Servente'!I13</f>
        <v>300</v>
      </c>
      <c r="I15" s="520">
        <f>I13</f>
        <v>6835.65</v>
      </c>
      <c r="J15" s="519">
        <f t="shared" si="0"/>
        <v>22.79</v>
      </c>
      <c r="K15" s="360"/>
      <c r="L15" s="396">
        <f>'Área - Produt - Servente'!M13</f>
        <v>100.4</v>
      </c>
      <c r="M15" s="517">
        <f>'Servente COM Adicional'!H144</f>
        <v>8068.81</v>
      </c>
      <c r="N15" s="519">
        <f t="shared" si="1"/>
        <v>80.37</v>
      </c>
      <c r="O15" s="314"/>
      <c r="P15" s="334">
        <f>'Área - Produt - Servente'!Q13</f>
        <v>51.97</v>
      </c>
      <c r="Q15" s="517">
        <f>Q13</f>
        <v>6835.65</v>
      </c>
      <c r="R15" s="472">
        <f t="shared" si="2"/>
        <v>131.53</v>
      </c>
    </row>
    <row r="16" spans="1:29" ht="18.649999999999999" customHeight="1">
      <c r="A16" s="835"/>
      <c r="B16" s="515" t="s">
        <v>132</v>
      </c>
      <c r="C16" s="363"/>
      <c r="D16" s="271"/>
      <c r="E16" s="271"/>
      <c r="F16" s="271"/>
      <c r="G16" s="359"/>
      <c r="H16" s="271"/>
      <c r="I16" s="271"/>
      <c r="J16" s="271"/>
      <c r="K16" s="360"/>
      <c r="L16" s="271"/>
      <c r="M16" s="271"/>
      <c r="N16" s="271"/>
      <c r="O16" s="314"/>
      <c r="P16" s="270"/>
      <c r="Q16" s="271"/>
      <c r="R16" s="272"/>
    </row>
    <row r="17" spans="1:19" ht="33.75" customHeight="1">
      <c r="A17" s="835"/>
      <c r="B17" s="309" t="s">
        <v>133</v>
      </c>
      <c r="C17" s="375"/>
      <c r="D17" s="376">
        <f>'Área - Produt - Servente'!E15</f>
        <v>2700</v>
      </c>
      <c r="E17" s="521">
        <f>E13</f>
        <v>6835.65</v>
      </c>
      <c r="F17" s="519">
        <f>ROUND(E17/D17,2)</f>
        <v>2.5299999999999998</v>
      </c>
      <c r="G17" s="359"/>
      <c r="H17" s="376">
        <f>'Área - Produt - Servente'!I15</f>
        <v>2700</v>
      </c>
      <c r="I17" s="521">
        <f>I13</f>
        <v>6835.65</v>
      </c>
      <c r="J17" s="519">
        <f t="shared" si="0"/>
        <v>2.5299999999999998</v>
      </c>
      <c r="K17" s="360"/>
      <c r="L17" s="377">
        <f>'Área - Produt - Servente'!M15</f>
        <v>2700</v>
      </c>
      <c r="M17" s="517">
        <f>M13</f>
        <v>6464.19</v>
      </c>
      <c r="N17" s="519">
        <f t="shared" si="1"/>
        <v>2.39</v>
      </c>
      <c r="O17" s="314"/>
      <c r="P17" s="350">
        <f>'Área - Produt - Servente'!Q15</f>
        <v>2700</v>
      </c>
      <c r="Q17" s="517">
        <f>Q13</f>
        <v>6835.65</v>
      </c>
      <c r="R17" s="472">
        <f t="shared" ref="R17:R19" si="3">ROUND(Q17/P17,2)</f>
        <v>2.5299999999999998</v>
      </c>
    </row>
    <row r="18" spans="1:19" ht="18.649999999999999" customHeight="1">
      <c r="A18" s="835"/>
      <c r="B18" s="312" t="s">
        <v>134</v>
      </c>
      <c r="C18" s="375"/>
      <c r="D18" s="377">
        <f>'Área - Produt - Servente'!E16</f>
        <v>9000</v>
      </c>
      <c r="E18" s="472">
        <f>E13</f>
        <v>6835.65</v>
      </c>
      <c r="F18" s="519">
        <f>ROUND(E18/D18,2)</f>
        <v>0.76</v>
      </c>
      <c r="G18" s="359"/>
      <c r="H18" s="377">
        <f>'Área - Produt - Servente'!I16</f>
        <v>9000</v>
      </c>
      <c r="I18" s="517">
        <f>I17</f>
        <v>6835.65</v>
      </c>
      <c r="J18" s="519">
        <f t="shared" si="0"/>
        <v>0.76</v>
      </c>
      <c r="K18" s="360"/>
      <c r="L18" s="377">
        <f>'Área - Produt - Servente'!M16</f>
        <v>9000</v>
      </c>
      <c r="M18" s="517">
        <f>M13</f>
        <v>6464.19</v>
      </c>
      <c r="N18" s="519">
        <f t="shared" si="1"/>
        <v>0.72</v>
      </c>
      <c r="O18" s="314"/>
      <c r="P18" s="350">
        <f>'Área - Produt - Servente'!Q16</f>
        <v>9000</v>
      </c>
      <c r="Q18" s="517">
        <f>Q13</f>
        <v>6835.65</v>
      </c>
      <c r="R18" s="472">
        <f t="shared" si="3"/>
        <v>0.76</v>
      </c>
    </row>
    <row r="19" spans="1:19" ht="28.5" customHeight="1">
      <c r="A19" s="835"/>
      <c r="B19" s="312" t="s">
        <v>148</v>
      </c>
      <c r="C19" s="375"/>
      <c r="D19" s="377">
        <f>'Área - Produt - Servente'!E17</f>
        <v>2700</v>
      </c>
      <c r="E19" s="472">
        <f>E13</f>
        <v>6835.65</v>
      </c>
      <c r="F19" s="519">
        <f>ROUND(E19/D19,2)</f>
        <v>2.5299999999999998</v>
      </c>
      <c r="G19" s="359"/>
      <c r="H19" s="377">
        <f>'Área - Produt - Servente'!I17</f>
        <v>2700</v>
      </c>
      <c r="I19" s="472">
        <f>I18</f>
        <v>6835.65</v>
      </c>
      <c r="J19" s="519">
        <f t="shared" si="0"/>
        <v>2.5299999999999998</v>
      </c>
      <c r="K19" s="360"/>
      <c r="L19" s="377">
        <f>'Área - Produt - Servente'!M17</f>
        <v>2700</v>
      </c>
      <c r="M19" s="472">
        <f>M13</f>
        <v>6464.19</v>
      </c>
      <c r="N19" s="519">
        <f t="shared" si="1"/>
        <v>2.39</v>
      </c>
      <c r="O19" s="314"/>
      <c r="P19" s="350">
        <f>'Área - Produt - Servente'!Q17</f>
        <v>2700</v>
      </c>
      <c r="Q19" s="472">
        <f>Q13</f>
        <v>6835.65</v>
      </c>
      <c r="R19" s="472">
        <f t="shared" si="3"/>
        <v>2.5299999999999998</v>
      </c>
    </row>
    <row r="20" spans="1:19" ht="29.25" customHeight="1">
      <c r="A20" s="835"/>
      <c r="B20" s="271" t="s">
        <v>136</v>
      </c>
      <c r="C20" s="363"/>
      <c r="D20" s="271"/>
      <c r="E20" s="271"/>
      <c r="F20" s="271"/>
      <c r="G20" s="359"/>
      <c r="H20" s="271"/>
      <c r="I20" s="271"/>
      <c r="J20" s="271"/>
      <c r="K20" s="360"/>
      <c r="L20" s="271"/>
      <c r="M20" s="271"/>
      <c r="N20" s="271"/>
      <c r="O20" s="314"/>
      <c r="P20" s="270"/>
      <c r="Q20" s="271"/>
      <c r="R20" s="272"/>
    </row>
    <row r="21" spans="1:19" ht="30" customHeight="1">
      <c r="A21" s="835"/>
      <c r="B21" s="309" t="s">
        <v>316</v>
      </c>
      <c r="C21" s="375"/>
      <c r="D21" s="376">
        <f>'Área - Produt - Servente'!E19</f>
        <v>380</v>
      </c>
      <c r="E21" s="522">
        <f>E13</f>
        <v>6835.65</v>
      </c>
      <c r="F21" s="519">
        <f>ROUND((16/(188.76*D21))*E21,5)</f>
        <v>1.52</v>
      </c>
      <c r="G21" s="359"/>
      <c r="H21" s="376">
        <f>'Área - Produt - Servente'!I19</f>
        <v>380</v>
      </c>
      <c r="I21" s="522">
        <f>I13</f>
        <v>6835.65</v>
      </c>
      <c r="J21" s="519">
        <f>ROUND((16/(188.76*H21))*I21,5)</f>
        <v>1.52</v>
      </c>
      <c r="K21" s="360"/>
      <c r="L21" s="377">
        <f>'Área - Produt - Servente'!M19</f>
        <v>380</v>
      </c>
      <c r="M21" s="517">
        <f>M13</f>
        <v>6464.19</v>
      </c>
      <c r="N21" s="519">
        <f>ROUND((16/(188.76*L21))*M21,5)</f>
        <v>1.44</v>
      </c>
      <c r="O21" s="314"/>
      <c r="P21" s="305">
        <f>'Área - Produt - Servente'!Q19</f>
        <v>380</v>
      </c>
      <c r="Q21" s="517">
        <f>Q13</f>
        <v>6835.65</v>
      </c>
      <c r="R21" s="518">
        <f>ROUND((16/(188.76*P21))*Q21,5)</f>
        <v>1.52</v>
      </c>
    </row>
    <row r="22" spans="1:19" ht="30.5" customHeight="1">
      <c r="A22" s="836"/>
      <c r="B22" s="312" t="s">
        <v>317</v>
      </c>
      <c r="C22" s="523"/>
      <c r="D22" s="386">
        <f>'Área - Produt - Servente'!E20</f>
        <v>380</v>
      </c>
      <c r="E22" s="518">
        <f>E13</f>
        <v>6835.65</v>
      </c>
      <c r="F22" s="519">
        <f>ROUND((16/(188.76*D22))*E22,5)</f>
        <v>1.52</v>
      </c>
      <c r="G22" s="524"/>
      <c r="H22" s="386">
        <f>'Área - Produt - Servente'!I20</f>
        <v>380</v>
      </c>
      <c r="I22" s="518">
        <f>I13</f>
        <v>6835.65</v>
      </c>
      <c r="J22" s="519">
        <f>ROUND((16/(188.76*H22))*I22,5)</f>
        <v>1.52</v>
      </c>
      <c r="K22" s="360"/>
      <c r="L22" s="386">
        <f>'Área - Produt - Servente'!M20</f>
        <v>380</v>
      </c>
      <c r="M22" s="518">
        <f>M13</f>
        <v>6464.19</v>
      </c>
      <c r="N22" s="519">
        <f>ROUND((16/(188.76*L22))*M22,5)</f>
        <v>1.44</v>
      </c>
      <c r="O22" s="525"/>
      <c r="P22" s="526">
        <f>'Área - Produt - Servente'!Q20</f>
        <v>380</v>
      </c>
      <c r="Q22" s="518">
        <f>Q13</f>
        <v>6835.65</v>
      </c>
      <c r="R22" s="518">
        <f>ROUND((16/(188.76*P22))*Q22,5)</f>
        <v>1.52</v>
      </c>
      <c r="S22" s="200"/>
    </row>
    <row r="23" spans="1:19" ht="18" customHeight="1">
      <c r="A23" s="940" t="s">
        <v>138</v>
      </c>
      <c r="B23" s="941" t="s">
        <v>147</v>
      </c>
      <c r="C23" s="360"/>
      <c r="D23" s="1216" t="s">
        <v>138</v>
      </c>
      <c r="E23" s="1216"/>
      <c r="F23" s="1216"/>
      <c r="H23" s="1217" t="s">
        <v>240</v>
      </c>
      <c r="I23" s="1217"/>
      <c r="J23" s="1217"/>
      <c r="L23" s="1212" t="s">
        <v>241</v>
      </c>
      <c r="M23" s="1212"/>
      <c r="N23" s="1212"/>
      <c r="P23" s="1208" t="s">
        <v>242</v>
      </c>
      <c r="Q23" s="1208"/>
      <c r="R23" s="1208"/>
    </row>
    <row r="24" spans="1:19" ht="49.5" customHeight="1">
      <c r="A24" s="940"/>
      <c r="B24" s="849"/>
      <c r="C24" s="356"/>
      <c r="D24" s="357" t="s">
        <v>489</v>
      </c>
      <c r="E24" s="358" t="s">
        <v>218</v>
      </c>
      <c r="F24" s="267" t="s">
        <v>219</v>
      </c>
      <c r="G24" s="193"/>
      <c r="H24" s="390" t="s">
        <v>489</v>
      </c>
      <c r="I24" s="358" t="s">
        <v>218</v>
      </c>
      <c r="J24" s="267" t="s">
        <v>219</v>
      </c>
      <c r="K24" s="391"/>
      <c r="L24" s="392" t="s">
        <v>489</v>
      </c>
      <c r="M24" s="358" t="s">
        <v>218</v>
      </c>
      <c r="N24" s="267" t="s">
        <v>219</v>
      </c>
      <c r="O24" s="181"/>
      <c r="P24" s="390" t="s">
        <v>489</v>
      </c>
      <c r="Q24" s="358" t="s">
        <v>218</v>
      </c>
      <c r="R24" s="267" t="s">
        <v>219</v>
      </c>
    </row>
    <row r="25" spans="1:19" ht="18" customHeight="1">
      <c r="A25" s="940"/>
      <c r="B25" s="527" t="s">
        <v>126</v>
      </c>
      <c r="C25" s="394"/>
      <c r="D25" s="270"/>
      <c r="E25" s="271"/>
      <c r="F25" s="272"/>
      <c r="G25" s="193"/>
      <c r="H25" s="271"/>
      <c r="I25" s="271"/>
      <c r="J25" s="272"/>
      <c r="K25" s="391"/>
      <c r="L25" s="270"/>
      <c r="M25" s="271"/>
      <c r="N25" s="272"/>
      <c r="O25" s="181"/>
      <c r="P25" s="270"/>
      <c r="Q25" s="271"/>
      <c r="R25" s="272"/>
    </row>
    <row r="26" spans="1:19" ht="18" customHeight="1">
      <c r="A26" s="940"/>
      <c r="B26" s="288" t="s">
        <v>127</v>
      </c>
      <c r="C26" s="364"/>
      <c r="D26" s="528">
        <f>'Área - Produt - Servente'!E27</f>
        <v>1864.35</v>
      </c>
      <c r="E26" s="529">
        <f>'Servente SEM Adicional'!G142</f>
        <v>5230.97</v>
      </c>
      <c r="F26" s="472">
        <f t="shared" ref="F26:F29" si="4">ROUND(E26/D26,2)</f>
        <v>2.81</v>
      </c>
      <c r="G26" s="193"/>
      <c r="H26" s="283">
        <f>'Área - Produt - Servente'!I27</f>
        <v>994.76</v>
      </c>
      <c r="I26" s="472">
        <f>'Servente COM Adicional'!H144</f>
        <v>8068.81</v>
      </c>
      <c r="J26" s="472">
        <f t="shared" ref="J26:J29" si="5">ROUND(I26/H26,2)</f>
        <v>8.11</v>
      </c>
      <c r="K26" s="391"/>
      <c r="L26" s="283">
        <f>'Área - Produt - Servente'!M27</f>
        <v>948.47</v>
      </c>
      <c r="M26" s="472">
        <f>'Servente COM Adicional'!H144</f>
        <v>8068.81</v>
      </c>
      <c r="N26" s="472">
        <f t="shared" ref="N26:N33" si="6">ROUND(M26/L26,2)</f>
        <v>8.51</v>
      </c>
      <c r="O26" s="181"/>
      <c r="P26" s="399">
        <f>'Área - Produt - Servente'!Q27</f>
        <v>496</v>
      </c>
      <c r="Q26" s="472">
        <f>'Servente COM Adicional'!G144</f>
        <v>6835.65</v>
      </c>
      <c r="R26" s="472">
        <f t="shared" ref="R26:R33" si="7">ROUND(Q26/P26,2)</f>
        <v>13.78</v>
      </c>
    </row>
    <row r="27" spans="1:19" ht="18" customHeight="1">
      <c r="A27" s="940"/>
      <c r="B27" s="288" t="s">
        <v>128</v>
      </c>
      <c r="C27" s="364"/>
      <c r="D27" s="369">
        <f>'Área - Produt - Servente'!E28</f>
        <v>2500</v>
      </c>
      <c r="E27" s="472">
        <f>E26</f>
        <v>5230.97</v>
      </c>
      <c r="F27" s="472">
        <f t="shared" si="4"/>
        <v>2.09</v>
      </c>
      <c r="G27" s="193"/>
      <c r="H27" s="348">
        <f>'Área - Produt - Servente'!I28</f>
        <v>2500</v>
      </c>
      <c r="I27" s="472">
        <f>I26</f>
        <v>8068.81</v>
      </c>
      <c r="J27" s="472">
        <f t="shared" si="5"/>
        <v>3.23</v>
      </c>
      <c r="K27" s="391"/>
      <c r="L27" s="348">
        <f>'Área - Produt - Servente'!M28</f>
        <v>2500</v>
      </c>
      <c r="M27" s="472">
        <f>M26</f>
        <v>8068.81</v>
      </c>
      <c r="N27" s="472">
        <f t="shared" si="6"/>
        <v>3.23</v>
      </c>
      <c r="O27" s="181"/>
      <c r="P27" s="348">
        <f>'Área - Produt - Servente'!Q28</f>
        <v>2500</v>
      </c>
      <c r="Q27" s="472">
        <f>Q26</f>
        <v>6835.65</v>
      </c>
      <c r="R27" s="472">
        <f t="shared" si="7"/>
        <v>2.73</v>
      </c>
    </row>
    <row r="28" spans="1:19" ht="18.649999999999999" customHeight="1">
      <c r="A28" s="940"/>
      <c r="B28" s="304" t="s">
        <v>130</v>
      </c>
      <c r="C28" s="364"/>
      <c r="D28" s="398">
        <f>'Área - Produt - Servente'!E29</f>
        <v>300</v>
      </c>
      <c r="E28" s="529">
        <f>E26</f>
        <v>5230.97</v>
      </c>
      <c r="F28" s="472">
        <f t="shared" si="4"/>
        <v>17.440000000000001</v>
      </c>
      <c r="G28" s="193"/>
      <c r="H28" s="289">
        <f>'Área - Produt - Servente'!I29</f>
        <v>300</v>
      </c>
      <c r="I28" s="472">
        <f>I26</f>
        <v>8068.81</v>
      </c>
      <c r="J28" s="472">
        <f t="shared" si="5"/>
        <v>26.9</v>
      </c>
      <c r="K28" s="391"/>
      <c r="L28" s="289">
        <f>'Área - Produt - Servente'!M29</f>
        <v>300</v>
      </c>
      <c r="M28" s="517">
        <f>M26</f>
        <v>8068.81</v>
      </c>
      <c r="N28" s="472">
        <f t="shared" si="6"/>
        <v>26.9</v>
      </c>
      <c r="O28" s="181"/>
      <c r="P28" s="399">
        <f>'Área - Produt - Servente'!Q29</f>
        <v>300</v>
      </c>
      <c r="Q28" s="517">
        <f>Q26</f>
        <v>6835.65</v>
      </c>
      <c r="R28" s="472">
        <f t="shared" si="7"/>
        <v>22.79</v>
      </c>
    </row>
    <row r="29" spans="1:19" ht="18.649999999999999" customHeight="1">
      <c r="A29" s="940"/>
      <c r="B29" s="341" t="s">
        <v>281</v>
      </c>
      <c r="C29" s="372"/>
      <c r="D29" s="528">
        <f>'Área - Produt - Servente'!E30</f>
        <v>13.72</v>
      </c>
      <c r="E29" s="529">
        <f>'Servente COM Adicional'!G144</f>
        <v>6835.65</v>
      </c>
      <c r="F29" s="472">
        <f t="shared" si="4"/>
        <v>498.23</v>
      </c>
      <c r="G29" s="193"/>
      <c r="H29" s="289">
        <f>'Área - Produt - Servente'!I30</f>
        <v>300</v>
      </c>
      <c r="I29" s="472">
        <f>I26</f>
        <v>8068.81</v>
      </c>
      <c r="J29" s="472">
        <f t="shared" si="5"/>
        <v>26.9</v>
      </c>
      <c r="K29" s="391"/>
      <c r="L29" s="289">
        <f>'Área - Produt - Servente'!M30</f>
        <v>300</v>
      </c>
      <c r="M29" s="517">
        <f>M26</f>
        <v>8068.81</v>
      </c>
      <c r="N29" s="472">
        <f t="shared" si="6"/>
        <v>26.9</v>
      </c>
      <c r="O29" s="181"/>
      <c r="P29" s="399">
        <f>'Área - Produt - Servente'!Q30</f>
        <v>300</v>
      </c>
      <c r="Q29" s="517">
        <f>Q26</f>
        <v>6835.65</v>
      </c>
      <c r="R29" s="472">
        <f t="shared" si="7"/>
        <v>22.79</v>
      </c>
    </row>
    <row r="30" spans="1:19" ht="18.649999999999999" customHeight="1">
      <c r="A30" s="940"/>
      <c r="B30" s="527" t="s">
        <v>132</v>
      </c>
      <c r="C30" s="363"/>
      <c r="D30" s="270"/>
      <c r="E30" s="271"/>
      <c r="F30" s="272"/>
      <c r="G30" s="193"/>
      <c r="H30" s="271"/>
      <c r="I30" s="271"/>
      <c r="J30" s="272"/>
      <c r="K30" s="391"/>
      <c r="L30" s="271"/>
      <c r="M30" s="271"/>
      <c r="N30" s="272"/>
      <c r="O30" s="181"/>
      <c r="P30" s="270"/>
      <c r="Q30" s="271"/>
      <c r="R30" s="272"/>
    </row>
    <row r="31" spans="1:19" ht="26">
      <c r="A31" s="940"/>
      <c r="B31" s="344" t="s">
        <v>133</v>
      </c>
      <c r="C31" s="375"/>
      <c r="D31" s="377">
        <f>'Área - Produt - Servente'!E32</f>
        <v>2700</v>
      </c>
      <c r="E31" s="472">
        <f>E26</f>
        <v>5230.97</v>
      </c>
      <c r="F31" s="472">
        <f t="shared" ref="F31:F33" si="8">ROUND(E31/D31,2)</f>
        <v>1.94</v>
      </c>
      <c r="G31" s="193"/>
      <c r="H31" s="350">
        <f>'Área - Produt - Servente'!I32</f>
        <v>2700</v>
      </c>
      <c r="I31" s="472">
        <f>I26</f>
        <v>8068.81</v>
      </c>
      <c r="J31" s="472">
        <f t="shared" ref="J31:J33" si="9">ROUND(I31/H31,2)</f>
        <v>2.99</v>
      </c>
      <c r="K31" s="391"/>
      <c r="L31" s="350">
        <f>'Área - Produt - Servente'!M32</f>
        <v>2700</v>
      </c>
      <c r="M31" s="472">
        <f>M26</f>
        <v>8068.81</v>
      </c>
      <c r="N31" s="472">
        <f t="shared" si="6"/>
        <v>2.99</v>
      </c>
      <c r="O31" s="181"/>
      <c r="P31" s="350">
        <f>'Área - Produt - Servente'!Q32</f>
        <v>2700</v>
      </c>
      <c r="Q31" s="517">
        <f>Q26</f>
        <v>6835.65</v>
      </c>
      <c r="R31" s="472">
        <f t="shared" si="7"/>
        <v>2.5299999999999998</v>
      </c>
    </row>
    <row r="32" spans="1:19" ht="28" customHeight="1">
      <c r="A32" s="940"/>
      <c r="B32" s="304" t="s">
        <v>148</v>
      </c>
      <c r="C32" s="375"/>
      <c r="D32" s="377">
        <f>'Área - Produt - Servente'!E33</f>
        <v>2700</v>
      </c>
      <c r="E32" s="517">
        <f>E26</f>
        <v>5230.97</v>
      </c>
      <c r="F32" s="472">
        <f t="shared" si="8"/>
        <v>1.94</v>
      </c>
      <c r="G32" s="193"/>
      <c r="H32" s="350">
        <f>'Área - Produt - Servente'!I33</f>
        <v>2700</v>
      </c>
      <c r="I32" s="472">
        <f>I26</f>
        <v>8068.81</v>
      </c>
      <c r="J32" s="472">
        <f t="shared" si="9"/>
        <v>2.99</v>
      </c>
      <c r="K32" s="391"/>
      <c r="L32" s="350">
        <f>'Área - Produt - Servente'!M33</f>
        <v>2700</v>
      </c>
      <c r="M32" s="472">
        <f>M26</f>
        <v>8068.81</v>
      </c>
      <c r="N32" s="472">
        <f t="shared" si="6"/>
        <v>2.99</v>
      </c>
      <c r="O32" s="181"/>
      <c r="P32" s="350">
        <f>'Área - Produt - Servente'!Q33</f>
        <v>2700</v>
      </c>
      <c r="Q32" s="472">
        <f>Q26</f>
        <v>6835.65</v>
      </c>
      <c r="R32" s="472">
        <f t="shared" si="7"/>
        <v>2.5299999999999998</v>
      </c>
    </row>
    <row r="33" spans="1:20" ht="28" customHeight="1">
      <c r="A33" s="940"/>
      <c r="B33" s="304" t="s">
        <v>135</v>
      </c>
      <c r="C33" s="375"/>
      <c r="D33" s="377">
        <f>'Área - Produt - Servente'!E34</f>
        <v>100000</v>
      </c>
      <c r="E33" s="517">
        <f>E26</f>
        <v>5230.97</v>
      </c>
      <c r="F33" s="472">
        <f t="shared" si="8"/>
        <v>0.05</v>
      </c>
      <c r="G33" s="193"/>
      <c r="H33" s="350">
        <f>'Área - Produt - Servente'!I34</f>
        <v>100000</v>
      </c>
      <c r="I33" s="517">
        <f>I26</f>
        <v>8068.81</v>
      </c>
      <c r="J33" s="472">
        <f t="shared" si="9"/>
        <v>0.08</v>
      </c>
      <c r="K33" s="391"/>
      <c r="L33" s="350">
        <f>'Área - Produt - Servente'!M34</f>
        <v>100000</v>
      </c>
      <c r="M33" s="517">
        <f>M26</f>
        <v>8068.81</v>
      </c>
      <c r="N33" s="472">
        <f t="shared" si="6"/>
        <v>0.08</v>
      </c>
      <c r="O33" s="181"/>
      <c r="P33" s="350">
        <f>'Área - Produt - Servente'!Q34</f>
        <v>100000</v>
      </c>
      <c r="Q33" s="517">
        <f>Q26</f>
        <v>6835.65</v>
      </c>
      <c r="R33" s="472">
        <f t="shared" si="7"/>
        <v>7.0000000000000007E-2</v>
      </c>
    </row>
    <row r="34" spans="1:20" ht="28" customHeight="1">
      <c r="A34" s="940"/>
      <c r="B34" s="270" t="s">
        <v>136</v>
      </c>
      <c r="C34" s="363"/>
      <c r="D34" s="270"/>
      <c r="E34" s="271"/>
      <c r="F34" s="272"/>
      <c r="G34" s="193"/>
      <c r="H34" s="270"/>
      <c r="I34" s="271"/>
      <c r="J34" s="272"/>
      <c r="K34" s="391"/>
      <c r="L34" s="270"/>
      <c r="M34" s="271"/>
      <c r="N34" s="272"/>
      <c r="O34" s="181"/>
      <c r="P34" s="270"/>
      <c r="Q34" s="271"/>
      <c r="R34" s="272"/>
    </row>
    <row r="35" spans="1:20" ht="32.5" customHeight="1">
      <c r="A35" s="940"/>
      <c r="B35" s="309" t="s">
        <v>316</v>
      </c>
      <c r="C35" s="375"/>
      <c r="D35" s="377">
        <f>'Área - Produt - Servente'!E36</f>
        <v>380</v>
      </c>
      <c r="E35" s="517">
        <f>E26</f>
        <v>5230.97</v>
      </c>
      <c r="F35" s="472">
        <f>ROUND((16/(188.76*D35))*E35,5)</f>
        <v>1.17</v>
      </c>
      <c r="G35" s="193"/>
      <c r="H35" s="350">
        <f>'Área - Produt - Servente'!I36</f>
        <v>380</v>
      </c>
      <c r="I35" s="517">
        <f>I26</f>
        <v>8068.81</v>
      </c>
      <c r="J35" s="472">
        <f>ROUND((16/(188.76*H35))*I35,5)</f>
        <v>1.8</v>
      </c>
      <c r="K35" s="391"/>
      <c r="L35" s="350">
        <f>'Área - Produt - Servente'!M36</f>
        <v>380</v>
      </c>
      <c r="M35" s="517">
        <f>M26</f>
        <v>8068.81</v>
      </c>
      <c r="N35" s="472">
        <f>ROUND((16/(188.76*L35))*M35,5)</f>
        <v>1.8</v>
      </c>
      <c r="O35" s="181"/>
      <c r="P35" s="350">
        <f>'Área - Produt - Servente'!Q36</f>
        <v>380</v>
      </c>
      <c r="Q35" s="517">
        <f>Q26</f>
        <v>6835.65</v>
      </c>
      <c r="R35" s="518">
        <f>ROUND((16/(188.76*P35))*Q35,5)</f>
        <v>1.52</v>
      </c>
    </row>
    <row r="36" spans="1:20" ht="31" customHeight="1">
      <c r="A36" s="940"/>
      <c r="B36" s="312" t="s">
        <v>317</v>
      </c>
      <c r="C36" s="375"/>
      <c r="D36" s="386">
        <f>'Área - Produt - Servente'!E37</f>
        <v>380</v>
      </c>
      <c r="E36" s="518">
        <f>E26</f>
        <v>5230.97</v>
      </c>
      <c r="F36" s="518">
        <f>ROUND((16/(188.76*D36))*E36,5)</f>
        <v>1.17</v>
      </c>
      <c r="G36" s="189"/>
      <c r="H36" s="350">
        <f>'Área - Produt - Servente'!I37</f>
        <v>380</v>
      </c>
      <c r="I36" s="472">
        <f>I26</f>
        <v>8068.81</v>
      </c>
      <c r="J36" s="472">
        <f>ROUND((16/(188.76*H36))*I36,5)</f>
        <v>1.8</v>
      </c>
      <c r="K36" s="530"/>
      <c r="L36" s="350">
        <f>'Área - Produt - Servente'!M37</f>
        <v>380</v>
      </c>
      <c r="M36" s="472">
        <f>M26</f>
        <v>8068.81</v>
      </c>
      <c r="N36" s="472">
        <f>ROUND((16/(188.76*L36))*M36,5)</f>
        <v>1.8</v>
      </c>
      <c r="O36" s="181"/>
      <c r="P36" s="350">
        <f>'Área - Produt - Servente'!Q37</f>
        <v>380</v>
      </c>
      <c r="Q36" s="472">
        <f>Q26</f>
        <v>6835.65</v>
      </c>
      <c r="R36" s="472">
        <f>ROUND((16/(188.76*P36))*Q36,5)</f>
        <v>1.52</v>
      </c>
      <c r="S36" s="200"/>
    </row>
    <row r="37" spans="1:20" ht="18.649999999999999" customHeight="1">
      <c r="A37" s="847" t="s">
        <v>142</v>
      </c>
      <c r="B37" s="849" t="s">
        <v>147</v>
      </c>
      <c r="C37" s="531"/>
      <c r="D37" s="1213" t="s">
        <v>142</v>
      </c>
      <c r="E37" s="1214"/>
      <c r="F37" s="1215"/>
      <c r="K37" s="181"/>
    </row>
    <row r="38" spans="1:20" ht="49" customHeight="1">
      <c r="A38" s="847"/>
      <c r="B38" s="849"/>
      <c r="C38" s="356"/>
      <c r="D38" s="403" t="s">
        <v>489</v>
      </c>
      <c r="E38" s="358" t="s">
        <v>218</v>
      </c>
      <c r="F38" s="267" t="s">
        <v>219</v>
      </c>
      <c r="K38" s="181"/>
    </row>
    <row r="39" spans="1:20" ht="18.649999999999999" customHeight="1">
      <c r="A39" s="847"/>
      <c r="B39" s="532" t="s">
        <v>126</v>
      </c>
      <c r="C39" s="363"/>
      <c r="D39" s="270"/>
      <c r="E39" s="271"/>
      <c r="F39" s="272"/>
      <c r="K39" s="181"/>
    </row>
    <row r="40" spans="1:20" ht="18.649999999999999" customHeight="1">
      <c r="A40" s="847"/>
      <c r="B40" s="288" t="s">
        <v>127</v>
      </c>
      <c r="C40" s="364"/>
      <c r="D40" s="528">
        <f>'Área - Produt - Servente'!E44</f>
        <v>1371.07</v>
      </c>
      <c r="E40" s="472">
        <f>'Servente SEM Adicional'!H142</f>
        <v>6464.19</v>
      </c>
      <c r="F40" s="472">
        <f t="shared" ref="F40:F43" si="10">ROUND(E40/D40,2)</f>
        <v>4.71</v>
      </c>
      <c r="K40" s="181"/>
    </row>
    <row r="41" spans="1:20" ht="18.649999999999999" customHeight="1">
      <c r="A41" s="847"/>
      <c r="B41" s="288" t="s">
        <v>128</v>
      </c>
      <c r="C41" s="364"/>
      <c r="D41" s="348">
        <f>'Área - Produt - Servente'!E45</f>
        <v>2500</v>
      </c>
      <c r="E41" s="472">
        <f>E40</f>
        <v>6464.19</v>
      </c>
      <c r="F41" s="472">
        <f t="shared" si="10"/>
        <v>2.59</v>
      </c>
      <c r="K41" s="181"/>
    </row>
    <row r="42" spans="1:20" ht="27" customHeight="1">
      <c r="A42" s="847"/>
      <c r="B42" s="288" t="s">
        <v>129</v>
      </c>
      <c r="C42" s="364"/>
      <c r="D42" s="348">
        <f>'Área - Produt - Servente'!E46</f>
        <v>1500</v>
      </c>
      <c r="E42" s="472">
        <f>E40</f>
        <v>6464.19</v>
      </c>
      <c r="F42" s="472">
        <f t="shared" si="10"/>
        <v>4.3099999999999996</v>
      </c>
      <c r="K42" s="181"/>
    </row>
    <row r="43" spans="1:20" ht="18.649999999999999" customHeight="1">
      <c r="A43" s="847"/>
      <c r="B43" s="341" t="s">
        <v>131</v>
      </c>
      <c r="C43" s="372"/>
      <c r="D43" s="528">
        <f>'Área - Produt - Servente'!E47</f>
        <v>135.49</v>
      </c>
      <c r="E43" s="472">
        <f>'Servente COM Adicional'!G144</f>
        <v>6835.65</v>
      </c>
      <c r="F43" s="472">
        <f t="shared" si="10"/>
        <v>50.45</v>
      </c>
      <c r="K43" s="181"/>
    </row>
    <row r="44" spans="1:20" ht="28" customHeight="1">
      <c r="A44" s="847"/>
      <c r="B44" s="307" t="s">
        <v>136</v>
      </c>
      <c r="C44" s="363"/>
      <c r="D44" s="270"/>
      <c r="E44" s="271"/>
      <c r="F44" s="272"/>
      <c r="K44" s="181"/>
    </row>
    <row r="45" spans="1:20" ht="31" customHeight="1">
      <c r="A45" s="847"/>
      <c r="B45" s="309" t="s">
        <v>316</v>
      </c>
      <c r="C45" s="375"/>
      <c r="D45" s="350">
        <f>'Área - Produt - Servente'!E49</f>
        <v>380</v>
      </c>
      <c r="E45" s="517">
        <f>E40</f>
        <v>6464.19</v>
      </c>
      <c r="F45" s="472">
        <f>ROUND((16/(188.76*D45))*E45,5)</f>
        <v>1.44</v>
      </c>
      <c r="H45" s="189"/>
      <c r="I45" s="189"/>
      <c r="J45" s="189"/>
      <c r="K45" s="181"/>
      <c r="L45" s="189"/>
      <c r="M45" s="189"/>
      <c r="N45" s="189"/>
      <c r="O45" s="189"/>
      <c r="P45" s="189"/>
      <c r="Q45" s="189"/>
      <c r="R45" s="189"/>
      <c r="S45" s="189"/>
      <c r="T45" s="189"/>
    </row>
    <row r="46" spans="1:20" ht="30.5" customHeight="1">
      <c r="A46" s="847"/>
      <c r="B46" s="312" t="s">
        <v>317</v>
      </c>
      <c r="C46" s="375"/>
      <c r="D46" s="350">
        <f>'Área - Produt - Servente'!E50</f>
        <v>380</v>
      </c>
      <c r="E46" s="472">
        <f>E40</f>
        <v>6464.19</v>
      </c>
      <c r="F46" s="472">
        <f>ROUND((16/(188.76*D46))*E46,5)</f>
        <v>1.44</v>
      </c>
      <c r="G46" s="200"/>
      <c r="H46" s="189"/>
      <c r="I46" s="189"/>
      <c r="J46" s="189"/>
      <c r="K46" s="181"/>
      <c r="L46" s="189"/>
      <c r="M46" s="189"/>
      <c r="N46" s="189"/>
      <c r="O46" s="189"/>
      <c r="P46" s="189"/>
      <c r="Q46" s="189"/>
      <c r="R46" s="189"/>
      <c r="S46" s="189"/>
      <c r="T46" s="189"/>
    </row>
    <row r="47" spans="1:20" ht="6.65" customHeight="1" thickBot="1">
      <c r="A47" s="847"/>
      <c r="B47" s="370"/>
      <c r="C47" s="405"/>
      <c r="D47" s="386"/>
      <c r="E47" s="387"/>
      <c r="F47" s="533"/>
      <c r="G47" s="391"/>
      <c r="H47" s="325"/>
      <c r="I47" s="404"/>
      <c r="J47" s="404"/>
      <c r="K47" s="181"/>
      <c r="L47" s="325"/>
      <c r="M47" s="404"/>
      <c r="N47" s="404"/>
      <c r="O47" s="189"/>
      <c r="P47" s="325"/>
      <c r="Q47" s="404"/>
      <c r="R47" s="404"/>
      <c r="S47" s="189"/>
      <c r="T47" s="189"/>
    </row>
    <row r="48" spans="1:20" ht="18.649999999999999" customHeight="1">
      <c r="A48" s="948" t="s">
        <v>143</v>
      </c>
      <c r="B48" s="941" t="s">
        <v>147</v>
      </c>
      <c r="C48" s="389"/>
      <c r="D48" s="1209" t="s">
        <v>143</v>
      </c>
      <c r="E48" s="1210"/>
      <c r="F48" s="1211"/>
      <c r="G48" s="189"/>
      <c r="H48" s="189"/>
      <c r="I48" s="189"/>
      <c r="J48" s="189"/>
      <c r="K48" s="181"/>
      <c r="L48" s="189"/>
      <c r="M48" s="189"/>
      <c r="N48" s="189"/>
      <c r="O48" s="189"/>
      <c r="P48" s="189"/>
      <c r="Q48" s="189"/>
      <c r="R48" s="189"/>
      <c r="S48" s="189"/>
    </row>
    <row r="49" spans="1:20" ht="39.65" customHeight="1">
      <c r="A49" s="949"/>
      <c r="B49" s="849"/>
      <c r="C49" s="356"/>
      <c r="D49" s="403" t="s">
        <v>489</v>
      </c>
      <c r="E49" s="358" t="s">
        <v>218</v>
      </c>
      <c r="F49" s="267" t="s">
        <v>219</v>
      </c>
      <c r="K49" s="181"/>
    </row>
    <row r="50" spans="1:20" ht="18.649999999999999" customHeight="1">
      <c r="A50" s="949"/>
      <c r="B50" s="527" t="s">
        <v>126</v>
      </c>
      <c r="C50" s="363"/>
      <c r="D50" s="270"/>
      <c r="E50" s="271"/>
      <c r="F50" s="272"/>
      <c r="K50" s="181"/>
    </row>
    <row r="51" spans="1:20" ht="18.649999999999999" customHeight="1">
      <c r="A51" s="949"/>
      <c r="B51" s="288" t="s">
        <v>127</v>
      </c>
      <c r="C51" s="364"/>
      <c r="D51" s="528">
        <f>'Área - Produt - Servente'!E56</f>
        <v>1298.22</v>
      </c>
      <c r="E51" s="472">
        <f>'Servente SEM Adicional'!H142</f>
        <v>6464.19</v>
      </c>
      <c r="F51" s="472">
        <f t="shared" ref="F51:F54" si="11">ROUND(E51/D51,2)</f>
        <v>4.9800000000000004</v>
      </c>
      <c r="K51" s="181"/>
    </row>
    <row r="52" spans="1:20" ht="18.649999999999999" customHeight="1">
      <c r="A52" s="949"/>
      <c r="B52" s="341" t="s">
        <v>131</v>
      </c>
      <c r="C52" s="372"/>
      <c r="D52" s="534">
        <f>'Área - Produt - Servente'!E57</f>
        <v>80.81</v>
      </c>
      <c r="E52" s="472">
        <f>'Servente COM Adicional'!I144</f>
        <v>8670.58</v>
      </c>
      <c r="F52" s="472">
        <f t="shared" si="11"/>
        <v>107.3</v>
      </c>
      <c r="K52" s="181"/>
    </row>
    <row r="53" spans="1:20" ht="18.649999999999999" customHeight="1">
      <c r="A53" s="949"/>
      <c r="B53" s="527" t="s">
        <v>132</v>
      </c>
      <c r="C53" s="363"/>
      <c r="D53" s="270"/>
      <c r="E53" s="271"/>
      <c r="F53" s="272"/>
      <c r="K53" s="181"/>
    </row>
    <row r="54" spans="1:20" ht="30" customHeight="1">
      <c r="A54" s="949"/>
      <c r="B54" s="344" t="s">
        <v>133</v>
      </c>
      <c r="C54" s="375"/>
      <c r="D54" s="398">
        <f>'Área - Produt - Servente'!E59</f>
        <v>2700</v>
      </c>
      <c r="E54" s="472">
        <f>'Servente SEM Adicional'!H142</f>
        <v>6464.19</v>
      </c>
      <c r="F54" s="472">
        <f t="shared" si="11"/>
        <v>2.39</v>
      </c>
      <c r="K54" s="181"/>
    </row>
    <row r="55" spans="1:20" ht="28" customHeight="1">
      <c r="A55" s="949"/>
      <c r="B55" s="270" t="s">
        <v>136</v>
      </c>
      <c r="C55" s="363"/>
      <c r="D55" s="270"/>
      <c r="E55" s="271"/>
      <c r="F55" s="272"/>
      <c r="K55" s="181"/>
    </row>
    <row r="56" spans="1:20" ht="31.5" customHeight="1">
      <c r="A56" s="949"/>
      <c r="B56" s="312" t="s">
        <v>317</v>
      </c>
      <c r="C56" s="375"/>
      <c r="D56" s="350">
        <f>'Área - Produt - Servente'!E61</f>
        <v>380</v>
      </c>
      <c r="E56" s="472">
        <f>E51</f>
        <v>6464.19</v>
      </c>
      <c r="F56" s="518">
        <f>ROUND((16/(188.76*D56))*E56,5)</f>
        <v>1.44</v>
      </c>
      <c r="G56" s="200"/>
      <c r="K56" s="181"/>
    </row>
    <row r="57" spans="1:20" ht="6.65" customHeight="1">
      <c r="A57" s="950"/>
      <c r="B57" s="440"/>
      <c r="C57" s="375"/>
      <c r="D57" s="377"/>
      <c r="E57" s="385"/>
      <c r="F57" s="528"/>
      <c r="G57" s="391"/>
      <c r="H57" s="325"/>
      <c r="I57" s="404"/>
      <c r="J57" s="404"/>
      <c r="K57" s="181"/>
      <c r="L57" s="325"/>
      <c r="M57" s="404"/>
      <c r="N57" s="404"/>
      <c r="O57" s="189"/>
      <c r="P57" s="325"/>
      <c r="Q57" s="404"/>
      <c r="R57" s="404"/>
      <c r="S57" s="189"/>
      <c r="T57" s="189"/>
    </row>
    <row r="58" spans="1:20" ht="18.649999999999999" customHeight="1">
      <c r="A58" s="834" t="s">
        <v>144</v>
      </c>
      <c r="B58" s="849" t="s">
        <v>147</v>
      </c>
      <c r="C58" s="531"/>
      <c r="D58" s="893" t="s">
        <v>282</v>
      </c>
      <c r="E58" s="894"/>
      <c r="F58" s="895"/>
      <c r="K58" s="181"/>
    </row>
    <row r="59" spans="1:20" ht="36.65" customHeight="1">
      <c r="A59" s="835"/>
      <c r="B59" s="849"/>
      <c r="C59" s="356"/>
      <c r="D59" s="403" t="s">
        <v>489</v>
      </c>
      <c r="E59" s="358" t="s">
        <v>218</v>
      </c>
      <c r="F59" s="264" t="s">
        <v>219</v>
      </c>
      <c r="K59" s="181"/>
    </row>
    <row r="60" spans="1:20" ht="18.649999999999999" customHeight="1">
      <c r="A60" s="835"/>
      <c r="B60" s="527" t="s">
        <v>126</v>
      </c>
      <c r="C60" s="363"/>
      <c r="D60" s="270"/>
      <c r="E60" s="271"/>
      <c r="F60" s="272"/>
      <c r="K60" s="181"/>
    </row>
    <row r="61" spans="1:20" ht="18.649999999999999" customHeight="1">
      <c r="A61" s="835"/>
      <c r="B61" s="288" t="s">
        <v>127</v>
      </c>
      <c r="C61" s="364"/>
      <c r="D61" s="528">
        <f>'Área - Produt - Servente'!E68</f>
        <v>654.07000000000005</v>
      </c>
      <c r="E61" s="472">
        <f>'Servente COM Adicional'!H144</f>
        <v>8068.81</v>
      </c>
      <c r="F61" s="472">
        <f>ROUND(E61/D61,2)</f>
        <v>12.34</v>
      </c>
      <c r="K61" s="181"/>
    </row>
    <row r="62" spans="1:20" ht="18.649999999999999" customHeight="1">
      <c r="A62" s="835"/>
      <c r="B62" s="288" t="s">
        <v>128</v>
      </c>
      <c r="C62" s="364"/>
      <c r="D62" s="348">
        <f>'Área - Produt - Servente'!E69</f>
        <v>2500</v>
      </c>
      <c r="E62" s="472">
        <f>E61</f>
        <v>8068.81</v>
      </c>
      <c r="F62" s="472">
        <f t="shared" ref="F62:F63" si="12">ROUND(E62/D62,2)</f>
        <v>3.23</v>
      </c>
      <c r="K62" s="181"/>
    </row>
    <row r="63" spans="1:20" ht="18.649999999999999" customHeight="1">
      <c r="A63" s="835"/>
      <c r="B63" s="304" t="s">
        <v>130</v>
      </c>
      <c r="C63" s="364"/>
      <c r="D63" s="407">
        <f>'Área - Produt - Servente'!E70</f>
        <v>300</v>
      </c>
      <c r="E63" s="472">
        <f>E61</f>
        <v>8068.81</v>
      </c>
      <c r="F63" s="472">
        <f t="shared" si="12"/>
        <v>26.9</v>
      </c>
      <c r="K63" s="181"/>
    </row>
    <row r="64" spans="1:20" ht="18.649999999999999" customHeight="1">
      <c r="A64" s="835"/>
      <c r="B64" s="527" t="s">
        <v>132</v>
      </c>
      <c r="C64" s="363"/>
      <c r="D64" s="270"/>
      <c r="E64" s="271"/>
      <c r="F64" s="272"/>
      <c r="K64" s="181"/>
    </row>
    <row r="65" spans="1:11" ht="31" customHeight="1">
      <c r="A65" s="835"/>
      <c r="B65" s="344" t="s">
        <v>133</v>
      </c>
      <c r="C65" s="375"/>
      <c r="D65" s="350">
        <f>'Área - Produt - Servente'!E72</f>
        <v>2700</v>
      </c>
      <c r="E65" s="472">
        <f>E61</f>
        <v>8068.81</v>
      </c>
      <c r="F65" s="472">
        <f t="shared" ref="F65:F67" si="13">ROUND(E65/D65,2)</f>
        <v>2.99</v>
      </c>
      <c r="K65" s="181"/>
    </row>
    <row r="66" spans="1:11" ht="18.649999999999999" customHeight="1">
      <c r="A66" s="835"/>
      <c r="B66" s="304" t="s">
        <v>134</v>
      </c>
      <c r="C66" s="375"/>
      <c r="D66" s="350">
        <f>'Área - Produt - Servente'!E73</f>
        <v>9000</v>
      </c>
      <c r="E66" s="472">
        <f>E61</f>
        <v>8068.81</v>
      </c>
      <c r="F66" s="472">
        <f t="shared" si="13"/>
        <v>0.9</v>
      </c>
      <c r="K66" s="181"/>
    </row>
    <row r="67" spans="1:11" ht="28" customHeight="1">
      <c r="A67" s="835"/>
      <c r="B67" s="304" t="s">
        <v>148</v>
      </c>
      <c r="C67" s="375"/>
      <c r="D67" s="350">
        <f>'Área - Produt - Servente'!E74</f>
        <v>2700</v>
      </c>
      <c r="E67" s="472">
        <f>E61</f>
        <v>8068.81</v>
      </c>
      <c r="F67" s="472">
        <f t="shared" si="13"/>
        <v>2.99</v>
      </c>
      <c r="K67" s="181"/>
    </row>
    <row r="68" spans="1:11" ht="28" customHeight="1">
      <c r="A68" s="835"/>
      <c r="B68" s="270" t="s">
        <v>136</v>
      </c>
      <c r="C68" s="363"/>
      <c r="D68" s="270"/>
      <c r="E68" s="271"/>
      <c r="F68" s="272"/>
      <c r="K68" s="181"/>
    </row>
    <row r="69" spans="1:11" ht="32.5" customHeight="1">
      <c r="A69" s="835"/>
      <c r="B69" s="309" t="s">
        <v>316</v>
      </c>
      <c r="C69" s="375"/>
      <c r="D69" s="350">
        <f>'Área - Produt - Servente'!E76</f>
        <v>380</v>
      </c>
      <c r="E69" s="517">
        <f>E61</f>
        <v>8068.81</v>
      </c>
      <c r="F69" s="472">
        <f>ROUND((16/(188.76*D69))*E69,5)</f>
        <v>1.8</v>
      </c>
      <c r="K69" s="181"/>
    </row>
    <row r="70" spans="1:11" ht="30.5" customHeight="1">
      <c r="A70" s="836"/>
      <c r="B70" s="312" t="s">
        <v>317</v>
      </c>
      <c r="C70" s="523"/>
      <c r="D70" s="535">
        <f>'Área - Produt - Servente'!E77</f>
        <v>380</v>
      </c>
      <c r="E70" s="518">
        <f>E61</f>
        <v>8068.81</v>
      </c>
      <c r="F70" s="518">
        <f>ROUND((16/(188.76*D70))*E70,5)</f>
        <v>1.8</v>
      </c>
      <c r="G70" s="200"/>
      <c r="K70" s="181"/>
    </row>
    <row r="71" spans="1:11" ht="18.649999999999999" customHeight="1">
      <c r="A71" s="834" t="s">
        <v>146</v>
      </c>
      <c r="B71" s="1064" t="s">
        <v>147</v>
      </c>
      <c r="C71" s="360"/>
      <c r="D71" s="1218" t="s">
        <v>146</v>
      </c>
      <c r="E71" s="1218"/>
      <c r="F71" s="1218"/>
      <c r="K71" s="181"/>
    </row>
    <row r="72" spans="1:11" ht="35.5" customHeight="1">
      <c r="A72" s="835"/>
      <c r="B72" s="901"/>
      <c r="C72" s="356"/>
      <c r="D72" s="362" t="s">
        <v>489</v>
      </c>
      <c r="E72" s="264" t="s">
        <v>218</v>
      </c>
      <c r="F72" s="264" t="s">
        <v>219</v>
      </c>
      <c r="K72" s="181"/>
    </row>
    <row r="73" spans="1:11" ht="18.649999999999999" customHeight="1">
      <c r="A73" s="835"/>
      <c r="B73" s="515" t="s">
        <v>126</v>
      </c>
      <c r="C73" s="363"/>
      <c r="D73" s="307"/>
      <c r="E73" s="307"/>
      <c r="F73" s="307"/>
      <c r="K73" s="181"/>
    </row>
    <row r="74" spans="1:11" ht="18.649999999999999" customHeight="1">
      <c r="A74" s="835"/>
      <c r="B74" s="347" t="s">
        <v>127</v>
      </c>
      <c r="C74" s="364"/>
      <c r="D74" s="283">
        <f>'Área - Produt - Servente'!E83</f>
        <v>1382.91</v>
      </c>
      <c r="E74" s="472">
        <f>'Servente SEM Adicional'!H142</f>
        <v>6464.19</v>
      </c>
      <c r="F74" s="472">
        <f t="shared" ref="F74:F79" si="14">ROUND(E74/D74,2)</f>
        <v>4.67</v>
      </c>
      <c r="K74" s="181"/>
    </row>
    <row r="75" spans="1:11" ht="18.649999999999999" customHeight="1">
      <c r="A75" s="835"/>
      <c r="B75" s="347" t="s">
        <v>128</v>
      </c>
      <c r="C75" s="364"/>
      <c r="D75" s="289">
        <f>'Área - Produt - Servente'!E84</f>
        <v>2500</v>
      </c>
      <c r="E75" s="472">
        <f>E74</f>
        <v>6464.19</v>
      </c>
      <c r="F75" s="472">
        <f t="shared" si="14"/>
        <v>2.59</v>
      </c>
      <c r="K75" s="181"/>
    </row>
    <row r="76" spans="1:11" ht="31" customHeight="1">
      <c r="A76" s="835"/>
      <c r="B76" s="347" t="s">
        <v>129</v>
      </c>
      <c r="C76" s="364"/>
      <c r="D76" s="289">
        <f>'Área - Produt - Servente'!E85</f>
        <v>1500</v>
      </c>
      <c r="E76" s="472">
        <f>E74</f>
        <v>6464.19</v>
      </c>
      <c r="F76" s="472">
        <f t="shared" si="14"/>
        <v>4.3099999999999996</v>
      </c>
      <c r="K76" s="181"/>
    </row>
    <row r="77" spans="1:11" ht="18.649999999999999" customHeight="1">
      <c r="A77" s="835"/>
      <c r="B77" s="312" t="s">
        <v>130</v>
      </c>
      <c r="C77" s="364"/>
      <c r="D77" s="289">
        <f>'Área - Produt - Servente'!E86</f>
        <v>300</v>
      </c>
      <c r="E77" s="472">
        <f>E74</f>
        <v>6464.19</v>
      </c>
      <c r="F77" s="472">
        <f t="shared" si="14"/>
        <v>21.55</v>
      </c>
      <c r="K77" s="181"/>
    </row>
    <row r="78" spans="1:11" ht="18.649999999999999" customHeight="1">
      <c r="A78" s="835"/>
      <c r="B78" s="515" t="s">
        <v>132</v>
      </c>
      <c r="C78" s="363"/>
      <c r="D78" s="307"/>
      <c r="E78" s="307"/>
      <c r="F78" s="307"/>
      <c r="K78" s="181"/>
    </row>
    <row r="79" spans="1:11" ht="31" customHeight="1">
      <c r="A79" s="835"/>
      <c r="B79" s="309" t="s">
        <v>133</v>
      </c>
      <c r="C79" s="375"/>
      <c r="D79" s="305">
        <f>'Área - Produt - Servente'!E88</f>
        <v>2700</v>
      </c>
      <c r="E79" s="472">
        <f>E74</f>
        <v>6464.19</v>
      </c>
      <c r="F79" s="472">
        <f t="shared" si="14"/>
        <v>2.39</v>
      </c>
      <c r="K79" s="181"/>
    </row>
    <row r="80" spans="1:11" ht="29.5" customHeight="1">
      <c r="A80" s="835"/>
      <c r="B80" s="271" t="s">
        <v>136</v>
      </c>
      <c r="C80" s="363"/>
      <c r="D80" s="307"/>
      <c r="E80" s="307"/>
      <c r="F80" s="307"/>
      <c r="K80" s="181"/>
    </row>
    <row r="81" spans="1:11" ht="32.5" customHeight="1">
      <c r="A81" s="836"/>
      <c r="B81" s="312" t="s">
        <v>317</v>
      </c>
      <c r="C81" s="523"/>
      <c r="D81" s="305">
        <f>'Área - Produt - Servente'!E90</f>
        <v>380</v>
      </c>
      <c r="E81" s="472">
        <f>E74</f>
        <v>6464.19</v>
      </c>
      <c r="F81" s="472">
        <f>ROUND((16/(188.76*D81))*E81,5)</f>
        <v>1.44</v>
      </c>
      <c r="K81" s="181"/>
    </row>
  </sheetData>
  <mergeCells count="30">
    <mergeCell ref="D10:F10"/>
    <mergeCell ref="H10:J10"/>
    <mergeCell ref="L10:N10"/>
    <mergeCell ref="A1:R1"/>
    <mergeCell ref="A2:R2"/>
    <mergeCell ref="A4:H4"/>
    <mergeCell ref="I4:R4"/>
    <mergeCell ref="A6:R6"/>
    <mergeCell ref="P10:R10"/>
    <mergeCell ref="A8:R8"/>
    <mergeCell ref="A10:A22"/>
    <mergeCell ref="B10:B11"/>
    <mergeCell ref="A71:A81"/>
    <mergeCell ref="B71:B72"/>
    <mergeCell ref="D71:F71"/>
    <mergeCell ref="A58:A70"/>
    <mergeCell ref="B58:B59"/>
    <mergeCell ref="D58:F58"/>
    <mergeCell ref="P23:R23"/>
    <mergeCell ref="A48:A57"/>
    <mergeCell ref="B48:B49"/>
    <mergeCell ref="D48:F48"/>
    <mergeCell ref="A37:A47"/>
    <mergeCell ref="B37:B38"/>
    <mergeCell ref="L23:N23"/>
    <mergeCell ref="D37:F37"/>
    <mergeCell ref="A23:A36"/>
    <mergeCell ref="B23:B24"/>
    <mergeCell ref="D23:F23"/>
    <mergeCell ref="H23:J23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C109"/>
  <sheetViews>
    <sheetView showGridLines="0" zoomScale="85" zoomScaleNormal="85" workbookViewId="0">
      <pane xSplit="3" topLeftCell="D1" activePane="topRight" state="frozen"/>
      <selection activeCell="A8" sqref="A8"/>
      <selection pane="topRight" activeCell="A6" sqref="A6:R6"/>
    </sheetView>
  </sheetViews>
  <sheetFormatPr defaultRowHeight="14.5"/>
  <cols>
    <col min="1" max="1" width="12.81640625" style="180" customWidth="1"/>
    <col min="2" max="2" width="39.81640625" style="180" customWidth="1"/>
    <col min="3" max="3" width="1.81640625" style="180" customWidth="1"/>
    <col min="4" max="4" width="16.1796875" style="180" customWidth="1"/>
    <col min="5" max="5" width="13.81640625" style="180" customWidth="1"/>
    <col min="6" max="6" width="14" style="180" customWidth="1"/>
    <col min="7" max="7" width="1.81640625" style="180" customWidth="1"/>
    <col min="8" max="8" width="16.1796875" style="180" customWidth="1"/>
    <col min="9" max="9" width="13.81640625" style="180" customWidth="1"/>
    <col min="10" max="10" width="14" style="180" customWidth="1"/>
    <col min="11" max="11" width="1.81640625" style="180" customWidth="1"/>
    <col min="12" max="12" width="16.1796875" style="180" customWidth="1"/>
    <col min="13" max="13" width="18.26953125" style="180" customWidth="1"/>
    <col min="14" max="14" width="14" style="180" customWidth="1"/>
    <col min="15" max="15" width="1.81640625" style="180" customWidth="1"/>
    <col min="16" max="16" width="16.1796875" style="180" customWidth="1"/>
    <col min="17" max="17" width="13.54296875" style="180" customWidth="1"/>
    <col min="18" max="18" width="14" style="180" customWidth="1"/>
    <col min="19" max="16384" width="8.7265625" style="180"/>
  </cols>
  <sheetData>
    <row r="1" spans="1:29" s="179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</row>
    <row r="2" spans="1:29" s="179" customFormat="1" ht="22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5"/>
    </row>
    <row r="3" spans="1:29" s="179" customFormat="1" ht="6" customHeight="1">
      <c r="A3" s="510"/>
      <c r="B3" s="352"/>
      <c r="C3" s="352"/>
      <c r="D3" s="352"/>
      <c r="E3" s="352"/>
      <c r="F3" s="352"/>
      <c r="G3" s="352"/>
      <c r="H3" s="352"/>
      <c r="I3" s="352"/>
      <c r="J3" s="352"/>
      <c r="K3" s="181"/>
      <c r="L3" s="252"/>
      <c r="M3" s="252"/>
      <c r="N3" s="352"/>
      <c r="O3" s="252"/>
      <c r="P3" s="252"/>
      <c r="Q3" s="252"/>
      <c r="R3" s="511"/>
    </row>
    <row r="4" spans="1:29" s="179" customFormat="1" ht="18" customHeight="1">
      <c r="A4" s="779" t="s">
        <v>1</v>
      </c>
      <c r="B4" s="779"/>
      <c r="C4" s="779"/>
      <c r="D4" s="779"/>
      <c r="E4" s="779"/>
      <c r="F4" s="779"/>
      <c r="G4" s="779"/>
      <c r="H4" s="779"/>
      <c r="I4" s="755" t="str">
        <f>CCT!J4</f>
        <v>10707.720194-2025-26</v>
      </c>
      <c r="J4" s="755"/>
      <c r="K4" s="755"/>
      <c r="L4" s="755"/>
      <c r="M4" s="755"/>
      <c r="N4" s="755"/>
      <c r="O4" s="755"/>
      <c r="P4" s="755"/>
      <c r="Q4" s="755"/>
      <c r="R4" s="755"/>
    </row>
    <row r="5" spans="1:2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181"/>
      <c r="N5" s="352"/>
      <c r="R5" s="352"/>
    </row>
    <row r="6" spans="1:2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2"/>
    </row>
    <row r="7" spans="1:29" ht="11.15" customHeigh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181"/>
      <c r="N7" s="354"/>
      <c r="R7" s="354"/>
    </row>
    <row r="8" spans="1:29" ht="22" customHeight="1">
      <c r="A8" s="1222" t="s">
        <v>162</v>
      </c>
      <c r="B8" s="1222"/>
      <c r="C8" s="1222"/>
      <c r="D8" s="1222"/>
      <c r="E8" s="1222"/>
      <c r="F8" s="1222"/>
      <c r="G8" s="1222"/>
      <c r="H8" s="1222"/>
      <c r="I8" s="1222"/>
      <c r="J8" s="1222"/>
      <c r="K8" s="1222"/>
      <c r="L8" s="1222"/>
      <c r="M8" s="1222"/>
      <c r="N8" s="1222"/>
      <c r="O8" s="1222"/>
      <c r="P8" s="1222"/>
      <c r="Q8" s="1222"/>
      <c r="R8" s="1222"/>
      <c r="S8" s="512"/>
      <c r="T8" s="512"/>
      <c r="U8" s="512"/>
      <c r="V8" s="512"/>
      <c r="W8" s="512"/>
      <c r="X8" s="512"/>
      <c r="Y8" s="512"/>
      <c r="Z8" s="512"/>
      <c r="AA8" s="512"/>
      <c r="AB8" s="189"/>
      <c r="AC8" s="189"/>
    </row>
    <row r="9" spans="1:29" s="189" customFormat="1" ht="8.5" customHeight="1" thickBot="1">
      <c r="A9" s="513"/>
      <c r="B9" s="513"/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</row>
    <row r="10" spans="1:29" ht="18" customHeight="1">
      <c r="A10" s="1223" t="s">
        <v>137</v>
      </c>
      <c r="B10" s="919" t="s">
        <v>147</v>
      </c>
      <c r="C10" s="355"/>
      <c r="D10" s="958" t="s">
        <v>139</v>
      </c>
      <c r="E10" s="959"/>
      <c r="F10" s="960"/>
      <c r="G10" s="253"/>
      <c r="H10" s="841" t="s">
        <v>150</v>
      </c>
      <c r="I10" s="842"/>
      <c r="J10" s="843"/>
      <c r="K10" s="185"/>
      <c r="L10" s="844" t="s">
        <v>140</v>
      </c>
      <c r="M10" s="845"/>
      <c r="N10" s="846"/>
      <c r="P10" s="861" t="s">
        <v>141</v>
      </c>
      <c r="Q10" s="862"/>
      <c r="R10" s="863"/>
    </row>
    <row r="11" spans="1:29" ht="43.5" customHeight="1">
      <c r="A11" s="1224"/>
      <c r="B11" s="901"/>
      <c r="C11" s="356"/>
      <c r="D11" s="536" t="s">
        <v>229</v>
      </c>
      <c r="E11" s="537" t="s">
        <v>230</v>
      </c>
      <c r="F11" s="538" t="s">
        <v>231</v>
      </c>
      <c r="G11" s="359"/>
      <c r="H11" s="536" t="s">
        <v>229</v>
      </c>
      <c r="I11" s="537" t="s">
        <v>230</v>
      </c>
      <c r="J11" s="538" t="s">
        <v>231</v>
      </c>
      <c r="K11" s="360"/>
      <c r="L11" s="536" t="s">
        <v>229</v>
      </c>
      <c r="M11" s="537" t="s">
        <v>230</v>
      </c>
      <c r="N11" s="538" t="s">
        <v>231</v>
      </c>
      <c r="O11" s="316"/>
      <c r="P11" s="537" t="s">
        <v>229</v>
      </c>
      <c r="Q11" s="537" t="s">
        <v>230</v>
      </c>
      <c r="R11" s="539" t="s">
        <v>231</v>
      </c>
    </row>
    <row r="12" spans="1:29" ht="18" customHeight="1">
      <c r="A12" s="1224"/>
      <c r="B12" s="515" t="s">
        <v>126</v>
      </c>
      <c r="C12" s="363"/>
      <c r="D12" s="271"/>
      <c r="E12" s="271"/>
      <c r="F12" s="271"/>
      <c r="G12" s="359"/>
      <c r="H12" s="271"/>
      <c r="I12" s="271"/>
      <c r="J12" s="271"/>
      <c r="K12" s="360"/>
      <c r="L12" s="271"/>
      <c r="M12" s="271"/>
      <c r="N12" s="271"/>
      <c r="O12" s="316"/>
      <c r="P12" s="270"/>
      <c r="Q12" s="271"/>
      <c r="R12" s="272"/>
    </row>
    <row r="13" spans="1:29" ht="18" customHeight="1">
      <c r="A13" s="1224"/>
      <c r="B13" s="347" t="s">
        <v>127</v>
      </c>
      <c r="C13" s="364"/>
      <c r="D13" s="529">
        <f>'Preço Homem-Mês-m2'!F13</f>
        <v>11.1</v>
      </c>
      <c r="E13" s="283">
        <f>'Área - Produt - Servente'!F11</f>
        <v>515.32000000000005</v>
      </c>
      <c r="F13" s="516">
        <f>ROUND(D13*E13,2)</f>
        <v>5720.05</v>
      </c>
      <c r="G13" s="359"/>
      <c r="H13" s="529">
        <f>'Preço Homem-Mês-m2'!J13</f>
        <v>21.45</v>
      </c>
      <c r="I13" s="283">
        <f>'Área - Produt - Servente'!J11</f>
        <v>293.87</v>
      </c>
      <c r="J13" s="516">
        <f t="shared" ref="J13:J15" si="0">ROUND(H13*I13,2)</f>
        <v>6303.51</v>
      </c>
      <c r="K13" s="360"/>
      <c r="L13" s="529">
        <f>'Preço Homem-Mês-m2'!N13</f>
        <v>3.41</v>
      </c>
      <c r="M13" s="283">
        <f>'Área - Produt - Servente'!N11</f>
        <v>1431.22</v>
      </c>
      <c r="N13" s="516">
        <f t="shared" ref="N13:N15" si="1">ROUND(L13*M13,2)</f>
        <v>4880.46</v>
      </c>
      <c r="O13" s="316"/>
      <c r="P13" s="472">
        <f>'Preço Homem-Mês-m2'!R13</f>
        <v>5.7</v>
      </c>
      <c r="Q13" s="334">
        <f>'Área - Produt - Servente'!R11</f>
        <v>758.09</v>
      </c>
      <c r="R13" s="472">
        <f t="shared" ref="R13:R15" si="2">ROUND(P13*Q13,2)</f>
        <v>4321.1099999999997</v>
      </c>
    </row>
    <row r="14" spans="1:29" ht="28" customHeight="1">
      <c r="A14" s="1224"/>
      <c r="B14" s="347" t="s">
        <v>129</v>
      </c>
      <c r="C14" s="364"/>
      <c r="D14" s="540"/>
      <c r="E14" s="283"/>
      <c r="F14" s="516">
        <f t="shared" ref="F14:F15" si="3">ROUND(D14*E14,2)</f>
        <v>0</v>
      </c>
      <c r="G14" s="359"/>
      <c r="H14" s="540"/>
      <c r="I14" s="291"/>
      <c r="J14" s="516">
        <f t="shared" si="0"/>
        <v>0</v>
      </c>
      <c r="K14" s="360"/>
      <c r="L14" s="540">
        <f>'Preço Homem-Mês-m2'!N14</f>
        <v>4.3099999999999996</v>
      </c>
      <c r="M14" s="291">
        <f>'Área - Produt - Servente'!N12</f>
        <v>343.28</v>
      </c>
      <c r="N14" s="516">
        <f t="shared" si="1"/>
        <v>1479.54</v>
      </c>
      <c r="O14" s="316"/>
      <c r="P14" s="541"/>
      <c r="Q14" s="542"/>
      <c r="R14" s="472">
        <f t="shared" si="2"/>
        <v>0</v>
      </c>
    </row>
    <row r="15" spans="1:29" ht="18" customHeight="1">
      <c r="A15" s="1224"/>
      <c r="B15" s="370" t="s">
        <v>281</v>
      </c>
      <c r="C15" s="372"/>
      <c r="D15" s="543">
        <f>'Preço Homem-Mês-m2'!F15</f>
        <v>22.79</v>
      </c>
      <c r="E15" s="297">
        <f>'Área - Produt - Servente'!F13</f>
        <v>17.010000000000002</v>
      </c>
      <c r="F15" s="516">
        <f t="shared" si="3"/>
        <v>387.66</v>
      </c>
      <c r="G15" s="359"/>
      <c r="H15" s="543">
        <f>'Preço Homem-Mês-m2'!J15</f>
        <v>22.79</v>
      </c>
      <c r="I15" s="298">
        <f>'Área - Produt - Servente'!J13</f>
        <v>16.54</v>
      </c>
      <c r="J15" s="516">
        <f t="shared" si="0"/>
        <v>376.95</v>
      </c>
      <c r="K15" s="360"/>
      <c r="L15" s="529">
        <f>'Preço Homem-Mês-m2'!N15</f>
        <v>80.37</v>
      </c>
      <c r="M15" s="291">
        <f>'Área - Produt - Servente'!N13</f>
        <v>96.39</v>
      </c>
      <c r="N15" s="516">
        <f t="shared" si="1"/>
        <v>7746.86</v>
      </c>
      <c r="O15" s="316"/>
      <c r="P15" s="472">
        <f>'Preço Homem-Mês-m2'!R15</f>
        <v>131.53</v>
      </c>
      <c r="Q15" s="542">
        <f>'Área - Produt - Servente'!R13</f>
        <v>18.95</v>
      </c>
      <c r="R15" s="472">
        <f t="shared" si="2"/>
        <v>2492.4899999999998</v>
      </c>
    </row>
    <row r="16" spans="1:29" ht="18" customHeight="1">
      <c r="A16" s="1224"/>
      <c r="B16" s="544" t="s">
        <v>232</v>
      </c>
      <c r="C16" s="372"/>
      <c r="D16" s="545"/>
      <c r="E16" s="546"/>
      <c r="F16" s="547">
        <f>ROUND(SUM(F13:F15),2)</f>
        <v>6107.71</v>
      </c>
      <c r="G16" s="359"/>
      <c r="H16" s="545"/>
      <c r="I16" s="546"/>
      <c r="J16" s="547">
        <f>ROUND(SUM(J13:J15),2)</f>
        <v>6680.46</v>
      </c>
      <c r="K16" s="360"/>
      <c r="L16" s="545"/>
      <c r="M16" s="546"/>
      <c r="N16" s="547">
        <f>ROUND(SUM(N13:N15),2)</f>
        <v>14106.86</v>
      </c>
      <c r="O16" s="316"/>
      <c r="P16" s="548"/>
      <c r="Q16" s="546"/>
      <c r="R16" s="549">
        <f>ROUND(SUM(R13:R15),2)</f>
        <v>6813.6</v>
      </c>
    </row>
    <row r="17" spans="1:19" ht="6" customHeight="1">
      <c r="A17" s="1224"/>
      <c r="B17" s="550"/>
      <c r="C17" s="372"/>
      <c r="D17" s="551"/>
      <c r="E17" s="552"/>
      <c r="F17" s="552"/>
      <c r="G17" s="359"/>
      <c r="H17" s="551"/>
      <c r="I17" s="553"/>
      <c r="J17" s="552"/>
      <c r="K17" s="360"/>
      <c r="L17" s="554"/>
      <c r="M17" s="555"/>
      <c r="N17" s="552"/>
      <c r="O17" s="316"/>
      <c r="P17" s="399"/>
      <c r="Q17" s="555"/>
      <c r="R17" s="529"/>
    </row>
    <row r="18" spans="1:19" ht="18" customHeight="1">
      <c r="A18" s="1224"/>
      <c r="B18" s="515" t="s">
        <v>132</v>
      </c>
      <c r="C18" s="363"/>
      <c r="D18" s="271"/>
      <c r="E18" s="271"/>
      <c r="F18" s="271"/>
      <c r="G18" s="359"/>
      <c r="H18" s="271"/>
      <c r="I18" s="271"/>
      <c r="J18" s="271"/>
      <c r="K18" s="360"/>
      <c r="L18" s="271"/>
      <c r="M18" s="271"/>
      <c r="N18" s="271"/>
      <c r="O18" s="316"/>
      <c r="P18" s="270"/>
      <c r="Q18" s="271"/>
      <c r="R18" s="272"/>
    </row>
    <row r="19" spans="1:19" ht="32.5" customHeight="1">
      <c r="A19" s="1224"/>
      <c r="B19" s="309" t="s">
        <v>133</v>
      </c>
      <c r="C19" s="375"/>
      <c r="D19" s="556">
        <f>'Preço Homem-Mês-m2'!F17</f>
        <v>2.5299999999999998</v>
      </c>
      <c r="E19" s="285">
        <f>'Área - Produt - Servente'!F15</f>
        <v>117.53</v>
      </c>
      <c r="F19" s="516">
        <f t="shared" ref="F19:F21" si="4">ROUND(D19*E19,2)</f>
        <v>297.35000000000002</v>
      </c>
      <c r="G19" s="359"/>
      <c r="H19" s="556">
        <f>'Preço Homem-Mês-m2'!J17</f>
        <v>2.5299999999999998</v>
      </c>
      <c r="I19" s="285">
        <f>'Área - Produt - Servente'!J15</f>
        <v>37.979999999999997</v>
      </c>
      <c r="J19" s="516">
        <f t="shared" ref="J19:J21" si="5">ROUND(H19*I19,2)</f>
        <v>96.09</v>
      </c>
      <c r="K19" s="360"/>
      <c r="L19" s="557">
        <f>'Preço Homem-Mês-m2'!N17</f>
        <v>2.39</v>
      </c>
      <c r="M19" s="291">
        <f>'Área - Produt - Servente'!N15</f>
        <v>77.7</v>
      </c>
      <c r="N19" s="516">
        <f t="shared" ref="N19:N21" si="6">ROUND(L19*M19,2)</f>
        <v>185.7</v>
      </c>
      <c r="O19" s="316"/>
      <c r="P19" s="558"/>
      <c r="Q19" s="542"/>
      <c r="R19" s="472">
        <f t="shared" ref="R19:R21" si="7">ROUND(P19*Q19,2)</f>
        <v>0</v>
      </c>
    </row>
    <row r="20" spans="1:19" ht="18" customHeight="1">
      <c r="A20" s="1224"/>
      <c r="B20" s="312" t="s">
        <v>134</v>
      </c>
      <c r="C20" s="375"/>
      <c r="D20" s="557">
        <f>'Preço Homem-Mês-m2'!F18</f>
        <v>0.76</v>
      </c>
      <c r="E20" s="283">
        <f>'Área - Produt - Servente'!F16</f>
        <v>413.76</v>
      </c>
      <c r="F20" s="516">
        <f t="shared" si="4"/>
        <v>314.45999999999998</v>
      </c>
      <c r="G20" s="359"/>
      <c r="H20" s="557"/>
      <c r="I20" s="291"/>
      <c r="J20" s="516">
        <f t="shared" si="5"/>
        <v>0</v>
      </c>
      <c r="K20" s="360"/>
      <c r="L20" s="557">
        <f>'Preço Homem-Mês-m2'!N18</f>
        <v>0.72</v>
      </c>
      <c r="M20" s="291">
        <f>'Área - Produt - Servente'!N16</f>
        <v>26.7</v>
      </c>
      <c r="N20" s="516">
        <f t="shared" si="6"/>
        <v>19.22</v>
      </c>
      <c r="O20" s="316"/>
      <c r="P20" s="558"/>
      <c r="Q20" s="542"/>
      <c r="R20" s="472">
        <f t="shared" si="7"/>
        <v>0</v>
      </c>
    </row>
    <row r="21" spans="1:19" ht="33.65" customHeight="1">
      <c r="A21" s="1224"/>
      <c r="B21" s="312" t="s">
        <v>148</v>
      </c>
      <c r="C21" s="375"/>
      <c r="D21" s="557"/>
      <c r="E21" s="283"/>
      <c r="F21" s="516">
        <f t="shared" si="4"/>
        <v>0</v>
      </c>
      <c r="G21" s="359"/>
      <c r="H21" s="557"/>
      <c r="I21" s="283"/>
      <c r="J21" s="516">
        <f t="shared" si="5"/>
        <v>0</v>
      </c>
      <c r="K21" s="360"/>
      <c r="L21" s="557">
        <f>'Preço Homem-Mês-m2'!N19</f>
        <v>2.39</v>
      </c>
      <c r="M21" s="283">
        <f>'Área - Produt - Servente'!N17</f>
        <v>24.9</v>
      </c>
      <c r="N21" s="516">
        <f t="shared" si="6"/>
        <v>59.51</v>
      </c>
      <c r="O21" s="316"/>
      <c r="P21" s="558"/>
      <c r="Q21" s="334"/>
      <c r="R21" s="472">
        <f t="shared" si="7"/>
        <v>0</v>
      </c>
    </row>
    <row r="22" spans="1:19" ht="18" customHeight="1">
      <c r="A22" s="1224"/>
      <c r="B22" s="544" t="s">
        <v>234</v>
      </c>
      <c r="C22" s="372"/>
      <c r="D22" s="545"/>
      <c r="E22" s="546"/>
      <c r="F22" s="559">
        <f>ROUND(SUM(F19:F21),2)</f>
        <v>611.80999999999995</v>
      </c>
      <c r="G22" s="359"/>
      <c r="H22" s="545"/>
      <c r="I22" s="546"/>
      <c r="J22" s="559">
        <f>ROUND(SUM(J19:J21),2)</f>
        <v>96.09</v>
      </c>
      <c r="K22" s="360"/>
      <c r="L22" s="545"/>
      <c r="M22" s="546"/>
      <c r="N22" s="559">
        <f>ROUND(SUM(N19:N21),2)</f>
        <v>264.43</v>
      </c>
      <c r="O22" s="316"/>
      <c r="P22" s="548"/>
      <c r="Q22" s="546"/>
      <c r="R22" s="559">
        <f>ROUND(SUM(R19:R21),2)</f>
        <v>0</v>
      </c>
    </row>
    <row r="23" spans="1:19" ht="6" customHeight="1">
      <c r="A23" s="1224"/>
      <c r="B23" s="550"/>
      <c r="C23" s="372"/>
      <c r="D23" s="551"/>
      <c r="E23" s="552"/>
      <c r="F23" s="552"/>
      <c r="G23" s="359"/>
      <c r="H23" s="551"/>
      <c r="I23" s="553"/>
      <c r="J23" s="552"/>
      <c r="K23" s="360"/>
      <c r="L23" s="554"/>
      <c r="M23" s="555"/>
      <c r="N23" s="552"/>
      <c r="O23" s="316"/>
      <c r="P23" s="399"/>
      <c r="Q23" s="555"/>
      <c r="R23" s="529"/>
    </row>
    <row r="24" spans="1:19" ht="37.5" customHeight="1">
      <c r="A24" s="1224"/>
      <c r="B24" s="271" t="s">
        <v>318</v>
      </c>
      <c r="C24" s="363"/>
      <c r="D24" s="271"/>
      <c r="E24" s="271"/>
      <c r="F24" s="271"/>
      <c r="G24" s="359"/>
      <c r="H24" s="271"/>
      <c r="I24" s="271"/>
      <c r="J24" s="271"/>
      <c r="K24" s="360"/>
      <c r="L24" s="271"/>
      <c r="M24" s="271"/>
      <c r="N24" s="271"/>
      <c r="O24" s="316"/>
      <c r="P24" s="270"/>
      <c r="Q24" s="271"/>
      <c r="R24" s="272"/>
    </row>
    <row r="25" spans="1:19" ht="30.5" customHeight="1">
      <c r="A25" s="1224"/>
      <c r="B25" s="309" t="s">
        <v>319</v>
      </c>
      <c r="C25" s="375"/>
      <c r="D25" s="556">
        <f>'Preço Homem-Mês-m2'!F21</f>
        <v>1.52</v>
      </c>
      <c r="E25" s="310">
        <f>'Área - Produt - Servente'!F19</f>
        <v>40.450000000000003</v>
      </c>
      <c r="F25" s="516">
        <f t="shared" ref="F25:F26" si="8">ROUND(D25*E25,2)</f>
        <v>61.48</v>
      </c>
      <c r="G25" s="359"/>
      <c r="H25" s="556">
        <f>'Preço Homem-Mês-m2'!J21</f>
        <v>1.52</v>
      </c>
      <c r="I25" s="310">
        <f>'Área - Produt - Servente'!J19</f>
        <v>26.65</v>
      </c>
      <c r="J25" s="516">
        <f t="shared" ref="J25:J26" si="9">ROUND(H25*I25,2)</f>
        <v>40.51</v>
      </c>
      <c r="K25" s="360"/>
      <c r="L25" s="557">
        <f>'Preço Homem-Mês-m2'!N21</f>
        <v>1.44</v>
      </c>
      <c r="M25" s="291">
        <f>'Área - Produt - Servente'!N19</f>
        <v>26.69</v>
      </c>
      <c r="N25" s="516">
        <f t="shared" ref="N25:N26" si="10">ROUND(L25*M25,2)</f>
        <v>38.43</v>
      </c>
      <c r="O25" s="316"/>
      <c r="P25" s="423">
        <f>'Preço Homem-Mês-m2'!R21</f>
        <v>1.52</v>
      </c>
      <c r="Q25" s="542">
        <f>'Área - Produt - Servente'!R19</f>
        <v>14.7</v>
      </c>
      <c r="R25" s="472">
        <f t="shared" ref="R25:R26" si="11">ROUND(P25*Q25,2)</f>
        <v>22.34</v>
      </c>
    </row>
    <row r="26" spans="1:19" ht="30.5" customHeight="1">
      <c r="A26" s="1224"/>
      <c r="B26" s="312" t="s">
        <v>320</v>
      </c>
      <c r="C26" s="375"/>
      <c r="D26" s="557">
        <f>'Preço Homem-Mês-m2'!F22</f>
        <v>1.52</v>
      </c>
      <c r="E26" s="283">
        <f>'Área - Produt - Servente'!F20</f>
        <v>38.85</v>
      </c>
      <c r="F26" s="516">
        <f t="shared" si="8"/>
        <v>59.05</v>
      </c>
      <c r="G26" s="359"/>
      <c r="H26" s="557">
        <f>'Preço Homem-Mês-m2'!J22</f>
        <v>1.52</v>
      </c>
      <c r="I26" s="283">
        <f>'Área - Produt - Servente'!J20</f>
        <v>11.72</v>
      </c>
      <c r="J26" s="516">
        <f t="shared" si="9"/>
        <v>17.809999999999999</v>
      </c>
      <c r="K26" s="360"/>
      <c r="L26" s="557">
        <f>'Preço Homem-Mês-m2'!N22</f>
        <v>1.44</v>
      </c>
      <c r="M26" s="283">
        <f>'Área - Produt - Servente'!N20</f>
        <v>86.4</v>
      </c>
      <c r="N26" s="516">
        <f t="shared" si="10"/>
        <v>124.42</v>
      </c>
      <c r="O26" s="316"/>
      <c r="P26" s="423">
        <f>'Preço Homem-Mês-m2'!R22</f>
        <v>1.52</v>
      </c>
      <c r="Q26" s="334">
        <f>'Área - Produt - Servente'!R20</f>
        <v>2.95</v>
      </c>
      <c r="R26" s="472">
        <f t="shared" si="11"/>
        <v>4.4800000000000004</v>
      </c>
    </row>
    <row r="27" spans="1:19" ht="31" customHeight="1">
      <c r="A27" s="1224"/>
      <c r="B27" s="560" t="s">
        <v>233</v>
      </c>
      <c r="C27" s="375"/>
      <c r="D27" s="545"/>
      <c r="E27" s="546"/>
      <c r="F27" s="559">
        <f>ROUND(SUM(F25:F26),2)</f>
        <v>120.53</v>
      </c>
      <c r="G27" s="524"/>
      <c r="H27" s="545"/>
      <c r="I27" s="546"/>
      <c r="J27" s="559">
        <f>ROUND(SUM(J25:J26),2)</f>
        <v>58.32</v>
      </c>
      <c r="K27" s="360"/>
      <c r="L27" s="545"/>
      <c r="M27" s="546"/>
      <c r="N27" s="559">
        <f>ROUND(SUM(N25:N26),2)</f>
        <v>162.85</v>
      </c>
      <c r="O27" s="561"/>
      <c r="P27" s="548"/>
      <c r="Q27" s="546"/>
      <c r="R27" s="559">
        <f>ROUND(SUM(R25:R26),2)</f>
        <v>26.82</v>
      </c>
      <c r="S27" s="200"/>
    </row>
    <row r="28" spans="1:19" ht="6" customHeight="1" thickBot="1">
      <c r="A28" s="1224"/>
      <c r="B28" s="384"/>
      <c r="C28" s="375"/>
      <c r="D28" s="386"/>
      <c r="E28" s="387"/>
      <c r="F28" s="387"/>
      <c r="G28" s="359"/>
      <c r="H28" s="386"/>
      <c r="I28" s="387"/>
      <c r="J28" s="387"/>
      <c r="K28" s="360"/>
      <c r="L28" s="386"/>
      <c r="M28" s="387"/>
      <c r="N28" s="387"/>
      <c r="O28" s="316"/>
      <c r="P28" s="535"/>
      <c r="Q28" s="387"/>
      <c r="R28" s="533"/>
    </row>
    <row r="29" spans="1:19" ht="18" customHeight="1">
      <c r="A29" s="834" t="s">
        <v>138</v>
      </c>
      <c r="B29" s="919" t="s">
        <v>147</v>
      </c>
      <c r="C29" s="562"/>
      <c r="D29" s="1225" t="s">
        <v>138</v>
      </c>
      <c r="E29" s="1226"/>
      <c r="F29" s="1227"/>
      <c r="G29" s="563"/>
      <c r="H29" s="1238" t="s">
        <v>240</v>
      </c>
      <c r="I29" s="1239"/>
      <c r="J29" s="1240"/>
      <c r="K29" s="563"/>
      <c r="L29" s="1229" t="s">
        <v>241</v>
      </c>
      <c r="M29" s="1230"/>
      <c r="N29" s="1231"/>
      <c r="O29" s="563"/>
      <c r="P29" s="1232" t="s">
        <v>242</v>
      </c>
      <c r="Q29" s="1233"/>
      <c r="R29" s="1234"/>
    </row>
    <row r="30" spans="1:19" ht="43.5" customHeight="1">
      <c r="A30" s="835"/>
      <c r="B30" s="901"/>
      <c r="C30" s="564"/>
      <c r="D30" s="565" t="s">
        <v>229</v>
      </c>
      <c r="E30" s="565" t="s">
        <v>230</v>
      </c>
      <c r="F30" s="538" t="s">
        <v>231</v>
      </c>
      <c r="G30" s="391"/>
      <c r="H30" s="565" t="s">
        <v>229</v>
      </c>
      <c r="I30" s="565" t="s">
        <v>230</v>
      </c>
      <c r="J30" s="538" t="s">
        <v>231</v>
      </c>
      <c r="K30" s="181"/>
      <c r="L30" s="565" t="s">
        <v>229</v>
      </c>
      <c r="M30" s="565" t="s">
        <v>230</v>
      </c>
      <c r="N30" s="538" t="s">
        <v>231</v>
      </c>
      <c r="O30" s="193"/>
      <c r="P30" s="565" t="s">
        <v>229</v>
      </c>
      <c r="Q30" s="565" t="s">
        <v>230</v>
      </c>
      <c r="R30" s="539" t="s">
        <v>231</v>
      </c>
    </row>
    <row r="31" spans="1:19" ht="18" customHeight="1">
      <c r="A31" s="835"/>
      <c r="B31" s="566" t="s">
        <v>126</v>
      </c>
      <c r="C31" s="394"/>
      <c r="D31" s="270"/>
      <c r="E31" s="271"/>
      <c r="F31" s="272"/>
      <c r="G31" s="193"/>
      <c r="H31" s="270"/>
      <c r="I31" s="271"/>
      <c r="J31" s="272"/>
      <c r="K31" s="391"/>
      <c r="L31" s="270"/>
      <c r="M31" s="271"/>
      <c r="N31" s="272"/>
      <c r="O31" s="181"/>
      <c r="P31" s="270"/>
      <c r="Q31" s="271"/>
      <c r="R31" s="272"/>
    </row>
    <row r="32" spans="1:19" ht="18" customHeight="1">
      <c r="A32" s="835"/>
      <c r="B32" s="347" t="s">
        <v>127</v>
      </c>
      <c r="C32" s="567"/>
      <c r="D32" s="521">
        <f>'Preço Homem-Mês-m2'!F26</f>
        <v>2.81</v>
      </c>
      <c r="E32" s="285">
        <f>'Área - Produt - Servente'!F27</f>
        <v>1072</v>
      </c>
      <c r="F32" s="521">
        <f t="shared" ref="F32:F35" si="12">ROUND(D32*E32,2)</f>
        <v>3012.32</v>
      </c>
      <c r="G32" s="189"/>
      <c r="H32" s="521">
        <f>'Preço Homem-Mês-m2'!J26</f>
        <v>8.11</v>
      </c>
      <c r="I32" s="285">
        <f>'Área - Produt - Servente'!J27</f>
        <v>759</v>
      </c>
      <c r="J32" s="521">
        <f t="shared" ref="J32:J35" si="13">ROUND(H32*I32,2)</f>
        <v>6155.49</v>
      </c>
      <c r="K32" s="530"/>
      <c r="L32" s="521">
        <f>'Preço Homem-Mês-m2'!N26</f>
        <v>8.51</v>
      </c>
      <c r="M32" s="285">
        <f>'Área - Produt - Servente'!N27</f>
        <v>644</v>
      </c>
      <c r="N32" s="521">
        <f t="shared" ref="N32:N35" si="14">ROUND(L32*M32,2)</f>
        <v>5480.44</v>
      </c>
      <c r="O32" s="181"/>
      <c r="P32" s="521">
        <f>'Preço Homem-Mês-m2'!R26</f>
        <v>13.78</v>
      </c>
      <c r="Q32" s="568">
        <f>'Área - Produt - Servente'!R27</f>
        <v>413.5</v>
      </c>
      <c r="R32" s="472">
        <f t="shared" ref="R32:R35" si="15">ROUND(P32*Q32,2)</f>
        <v>5698.03</v>
      </c>
    </row>
    <row r="33" spans="1:19" ht="18" customHeight="1">
      <c r="A33" s="835"/>
      <c r="B33" s="347" t="s">
        <v>128</v>
      </c>
      <c r="C33" s="567"/>
      <c r="D33" s="472"/>
      <c r="E33" s="283"/>
      <c r="F33" s="472">
        <f t="shared" si="12"/>
        <v>0</v>
      </c>
      <c r="G33" s="189"/>
      <c r="H33" s="472">
        <f>'Preço Homem-Mês-m2'!J27</f>
        <v>3.23</v>
      </c>
      <c r="I33" s="283">
        <f>'Área - Produt - Servente'!J28</f>
        <v>18</v>
      </c>
      <c r="J33" s="472">
        <f t="shared" si="13"/>
        <v>58.14</v>
      </c>
      <c r="K33" s="530"/>
      <c r="L33" s="472">
        <f>'Preço Homem-Mês-m2'!N27</f>
        <v>3.23</v>
      </c>
      <c r="M33" s="283">
        <f>'Área - Produt - Servente'!N28</f>
        <v>325</v>
      </c>
      <c r="N33" s="472">
        <f t="shared" si="14"/>
        <v>1049.75</v>
      </c>
      <c r="O33" s="181"/>
      <c r="P33" s="472">
        <f>'Preço Homem-Mês-m2'!R27</f>
        <v>2.73</v>
      </c>
      <c r="Q33" s="334">
        <f>'Área - Produt - Servente'!R28</f>
        <v>8</v>
      </c>
      <c r="R33" s="472">
        <f t="shared" si="15"/>
        <v>21.84</v>
      </c>
    </row>
    <row r="34" spans="1:19" ht="18" customHeight="1">
      <c r="A34" s="835"/>
      <c r="B34" s="312" t="s">
        <v>130</v>
      </c>
      <c r="C34" s="567"/>
      <c r="D34" s="472">
        <f>'Preço Homem-Mês-m2'!F28</f>
        <v>17.440000000000001</v>
      </c>
      <c r="E34" s="283">
        <f>'Área - Produt - Servente'!F29</f>
        <v>91.16</v>
      </c>
      <c r="F34" s="472">
        <f t="shared" si="12"/>
        <v>1589.83</v>
      </c>
      <c r="G34" s="189"/>
      <c r="H34" s="472"/>
      <c r="I34" s="283"/>
      <c r="J34" s="472">
        <f t="shared" si="13"/>
        <v>0</v>
      </c>
      <c r="K34" s="530"/>
      <c r="L34" s="472"/>
      <c r="M34" s="291"/>
      <c r="N34" s="472">
        <f t="shared" si="14"/>
        <v>0</v>
      </c>
      <c r="O34" s="181"/>
      <c r="P34" s="472">
        <f>'Preço Homem-Mês-m2'!R28</f>
        <v>22.79</v>
      </c>
      <c r="Q34" s="542">
        <f>'Área - Produt - Servente'!R29</f>
        <v>26.88</v>
      </c>
      <c r="R34" s="472">
        <f t="shared" si="15"/>
        <v>612.6</v>
      </c>
    </row>
    <row r="35" spans="1:19" ht="18" customHeight="1">
      <c r="A35" s="835"/>
      <c r="B35" s="370" t="s">
        <v>281</v>
      </c>
      <c r="C35" s="569"/>
      <c r="D35" s="472">
        <f>'Preço Homem-Mês-m2'!F29</f>
        <v>498.23</v>
      </c>
      <c r="E35" s="283">
        <f>'Área - Produt - Servente'!F30</f>
        <v>13.31</v>
      </c>
      <c r="F35" s="472">
        <f t="shared" si="12"/>
        <v>6631.44</v>
      </c>
      <c r="G35" s="189"/>
      <c r="H35" s="472">
        <f>'Preço Homem-Mês-m2'!J29</f>
        <v>26.9</v>
      </c>
      <c r="I35" s="283">
        <f>'Área - Produt - Servente'!J30</f>
        <v>53</v>
      </c>
      <c r="J35" s="472">
        <f t="shared" si="13"/>
        <v>1425.7</v>
      </c>
      <c r="K35" s="530"/>
      <c r="L35" s="472">
        <f>'Preço Homem-Mês-m2'!N29</f>
        <v>26.9</v>
      </c>
      <c r="M35" s="291">
        <f>'Área - Produt - Servente'!N30</f>
        <v>41</v>
      </c>
      <c r="N35" s="472">
        <f t="shared" si="14"/>
        <v>1102.9000000000001</v>
      </c>
      <c r="O35" s="181"/>
      <c r="P35" s="472">
        <f>'Preço Homem-Mês-m2'!R29</f>
        <v>22.79</v>
      </c>
      <c r="Q35" s="542">
        <f>'Área - Produt - Servente'!R30</f>
        <v>2.62</v>
      </c>
      <c r="R35" s="472">
        <f t="shared" si="15"/>
        <v>59.71</v>
      </c>
      <c r="S35" s="501"/>
    </row>
    <row r="36" spans="1:19" ht="18" customHeight="1">
      <c r="A36" s="835"/>
      <c r="B36" s="544" t="s">
        <v>232</v>
      </c>
      <c r="C36" s="569"/>
      <c r="D36" s="548"/>
      <c r="E36" s="546"/>
      <c r="F36" s="549">
        <f>ROUND(SUM(F32:F35),2)</f>
        <v>11233.59</v>
      </c>
      <c r="G36" s="391"/>
      <c r="H36" s="548"/>
      <c r="I36" s="546"/>
      <c r="J36" s="549">
        <f>ROUND(SUM(J32:J35),2)</f>
        <v>7639.33</v>
      </c>
      <c r="K36" s="181"/>
      <c r="L36" s="548"/>
      <c r="M36" s="546"/>
      <c r="N36" s="549">
        <f>ROUND(SUM(N32:N35),2)</f>
        <v>7633.09</v>
      </c>
      <c r="O36" s="193"/>
      <c r="P36" s="548"/>
      <c r="Q36" s="546"/>
      <c r="R36" s="549">
        <f>ROUND(SUM(R32:R35),2)</f>
        <v>6392.18</v>
      </c>
    </row>
    <row r="37" spans="1:19" ht="5.5" customHeight="1">
      <c r="A37" s="835"/>
      <c r="B37" s="544"/>
      <c r="C37" s="569"/>
      <c r="D37" s="570"/>
      <c r="E37" s="552"/>
      <c r="F37" s="549"/>
      <c r="G37" s="391"/>
      <c r="H37" s="570"/>
      <c r="I37" s="552"/>
      <c r="J37" s="549"/>
      <c r="K37" s="181"/>
      <c r="L37" s="570"/>
      <c r="M37" s="552"/>
      <c r="N37" s="549"/>
      <c r="O37" s="193"/>
      <c r="P37" s="570"/>
      <c r="Q37" s="552"/>
      <c r="R37" s="549"/>
    </row>
    <row r="38" spans="1:19" ht="18" customHeight="1">
      <c r="A38" s="835"/>
      <c r="B38" s="566" t="s">
        <v>132</v>
      </c>
      <c r="C38" s="394"/>
      <c r="D38" s="307"/>
      <c r="E38" s="307"/>
      <c r="F38" s="307"/>
      <c r="G38" s="193"/>
      <c r="H38" s="307"/>
      <c r="I38" s="307"/>
      <c r="J38" s="307"/>
      <c r="K38" s="391"/>
      <c r="L38" s="307"/>
      <c r="M38" s="307"/>
      <c r="N38" s="307"/>
      <c r="O38" s="181"/>
      <c r="P38" s="307"/>
      <c r="Q38" s="307"/>
      <c r="R38" s="307"/>
    </row>
    <row r="39" spans="1:19" ht="33" customHeight="1">
      <c r="A39" s="835"/>
      <c r="B39" s="309" t="s">
        <v>133</v>
      </c>
      <c r="C39" s="571"/>
      <c r="D39" s="423">
        <f>'Preço Homem-Mês-m2'!F31</f>
        <v>1.94</v>
      </c>
      <c r="E39" s="283">
        <f>'Área - Produt - Servente'!F32</f>
        <v>197</v>
      </c>
      <c r="F39" s="472">
        <f t="shared" ref="F39:F41" si="16">ROUND(D39*E39,2)</f>
        <v>382.18</v>
      </c>
      <c r="G39" s="193"/>
      <c r="H39" s="423">
        <f>'Preço Homem-Mês-m2'!J31</f>
        <v>2.99</v>
      </c>
      <c r="I39" s="283">
        <f>'Área - Produt - Servente'!J32</f>
        <v>43</v>
      </c>
      <c r="J39" s="472">
        <f>ROUND(H39*I39,2)</f>
        <v>128.57</v>
      </c>
      <c r="K39" s="391"/>
      <c r="L39" s="423">
        <f>'Preço Homem-Mês-m2'!N31</f>
        <v>2.99</v>
      </c>
      <c r="M39" s="283">
        <f>'Área - Produt - Servente'!N32</f>
        <v>81</v>
      </c>
      <c r="N39" s="472">
        <f t="shared" ref="N39:N41" si="17">ROUND(L39*M39,2)</f>
        <v>242.19</v>
      </c>
      <c r="O39" s="181"/>
      <c r="P39" s="423">
        <f>'Preço Homem-Mês-m2'!R31</f>
        <v>2.5299999999999998</v>
      </c>
      <c r="Q39" s="542">
        <f>'Área - Produt - Servente'!R32</f>
        <v>132</v>
      </c>
      <c r="R39" s="472">
        <f t="shared" ref="R39:R41" si="18">ROUND(P39*Q39,2)</f>
        <v>333.96</v>
      </c>
    </row>
    <row r="40" spans="1:19" ht="33" customHeight="1">
      <c r="A40" s="835"/>
      <c r="B40" s="312" t="s">
        <v>148</v>
      </c>
      <c r="C40" s="571"/>
      <c r="D40" s="423">
        <f>'Preço Homem-Mês-m2'!F32</f>
        <v>1.94</v>
      </c>
      <c r="E40" s="291">
        <f>'Área - Produt - Servente'!F33</f>
        <v>87</v>
      </c>
      <c r="F40" s="472">
        <f t="shared" si="16"/>
        <v>168.78</v>
      </c>
      <c r="G40" s="193"/>
      <c r="H40" s="423">
        <f>'Preço Homem-Mês-m2'!J32</f>
        <v>2.99</v>
      </c>
      <c r="I40" s="283">
        <f>'Área - Produt - Servente'!J33</f>
        <v>30</v>
      </c>
      <c r="J40" s="472">
        <f t="shared" ref="J40:J41" si="19">ROUND(H40*I40,2)</f>
        <v>89.7</v>
      </c>
      <c r="K40" s="391"/>
      <c r="L40" s="423">
        <f>'Preço Homem-Mês-m2'!N32</f>
        <v>2.99</v>
      </c>
      <c r="M40" s="283">
        <f>'Área - Produt - Servente'!N33</f>
        <v>5</v>
      </c>
      <c r="N40" s="472">
        <f t="shared" si="17"/>
        <v>14.95</v>
      </c>
      <c r="O40" s="181"/>
      <c r="P40" s="423">
        <f>'Preço Homem-Mês-m2'!R32</f>
        <v>2.5299999999999998</v>
      </c>
      <c r="Q40" s="334">
        <f>'Área - Produt - Servente'!R33</f>
        <v>14</v>
      </c>
      <c r="R40" s="472">
        <f t="shared" si="18"/>
        <v>35.42</v>
      </c>
    </row>
    <row r="41" spans="1:19" ht="33" customHeight="1">
      <c r="A41" s="835"/>
      <c r="B41" s="312" t="s">
        <v>135</v>
      </c>
      <c r="C41" s="571"/>
      <c r="D41" s="423"/>
      <c r="E41" s="291"/>
      <c r="F41" s="472">
        <f t="shared" si="16"/>
        <v>0</v>
      </c>
      <c r="G41" s="193"/>
      <c r="H41" s="423"/>
      <c r="I41" s="283"/>
      <c r="J41" s="472">
        <f t="shared" si="19"/>
        <v>0</v>
      </c>
      <c r="K41" s="391"/>
      <c r="L41" s="423">
        <f>'Preço Homem-Mês-m2'!N33</f>
        <v>0.08</v>
      </c>
      <c r="M41" s="291">
        <f>'Área - Produt - Servente'!N34</f>
        <v>5</v>
      </c>
      <c r="N41" s="472">
        <f t="shared" si="17"/>
        <v>0.4</v>
      </c>
      <c r="O41" s="181"/>
      <c r="P41" s="423"/>
      <c r="Q41" s="542"/>
      <c r="R41" s="472">
        <f t="shared" si="18"/>
        <v>0</v>
      </c>
    </row>
    <row r="42" spans="1:19" ht="18" customHeight="1">
      <c r="A42" s="835"/>
      <c r="B42" s="544" t="s">
        <v>234</v>
      </c>
      <c r="C42" s="572"/>
      <c r="D42" s="573"/>
      <c r="E42" s="574"/>
      <c r="F42" s="575">
        <f>ROUND(SUM(F39:F41),2)</f>
        <v>550.96</v>
      </c>
      <c r="G42" s="576"/>
      <c r="H42" s="573"/>
      <c r="I42" s="574"/>
      <c r="J42" s="575">
        <f>ROUND(SUM(J39:J41),2)</f>
        <v>218.27</v>
      </c>
      <c r="K42" s="577"/>
      <c r="L42" s="573"/>
      <c r="M42" s="574"/>
      <c r="N42" s="575">
        <f>ROUND(SUM(N39:N41),2)</f>
        <v>257.54000000000002</v>
      </c>
      <c r="O42" s="578"/>
      <c r="P42" s="573"/>
      <c r="Q42" s="574"/>
      <c r="R42" s="575">
        <f>ROUND(SUM(R39:R41),2)</f>
        <v>369.38</v>
      </c>
    </row>
    <row r="43" spans="1:19" ht="5.5" customHeight="1">
      <c r="A43" s="835"/>
      <c r="B43" s="544"/>
      <c r="C43" s="211"/>
      <c r="D43" s="567"/>
      <c r="E43" s="501"/>
      <c r="F43" s="579"/>
      <c r="G43" s="391"/>
      <c r="H43" s="567"/>
      <c r="I43" s="501"/>
      <c r="J43" s="579"/>
      <c r="K43" s="181"/>
      <c r="L43" s="567"/>
      <c r="M43" s="501"/>
      <c r="N43" s="579"/>
      <c r="O43" s="193"/>
      <c r="P43" s="567"/>
      <c r="Q43" s="501"/>
      <c r="R43" s="580"/>
    </row>
    <row r="44" spans="1:19" ht="33.65" customHeight="1">
      <c r="A44" s="835"/>
      <c r="B44" s="271" t="s">
        <v>318</v>
      </c>
      <c r="C44" s="278"/>
      <c r="D44" s="1235"/>
      <c r="E44" s="1236"/>
      <c r="F44" s="1237"/>
      <c r="G44" s="193"/>
      <c r="H44" s="270"/>
      <c r="I44" s="271"/>
      <c r="J44" s="272"/>
      <c r="K44" s="391"/>
      <c r="L44" s="270"/>
      <c r="M44" s="271"/>
      <c r="N44" s="272"/>
      <c r="O44" s="181"/>
      <c r="P44" s="270"/>
      <c r="Q44" s="271"/>
      <c r="R44" s="395"/>
    </row>
    <row r="45" spans="1:19" ht="31.5" customHeight="1">
      <c r="A45" s="835"/>
      <c r="B45" s="309" t="s">
        <v>319</v>
      </c>
      <c r="C45" s="325"/>
      <c r="D45" s="423">
        <f>'Preço Homem-Mês-m2'!F35</f>
        <v>1.17</v>
      </c>
      <c r="E45" s="291">
        <f>'Área - Produt - Servente'!F36</f>
        <v>73</v>
      </c>
      <c r="F45" s="472">
        <f t="shared" ref="F45:F46" si="20">ROUND(D45*E45,2)</f>
        <v>85.41</v>
      </c>
      <c r="G45" s="193"/>
      <c r="H45" s="581">
        <f>'Preço Homem-Mês-m2'!J35</f>
        <v>1.8</v>
      </c>
      <c r="I45" s="310">
        <f>'Área - Produt - Servente'!J36</f>
        <v>30</v>
      </c>
      <c r="J45" s="521">
        <f t="shared" ref="J45:J46" si="21">ROUND(H45*I45,2)</f>
        <v>54</v>
      </c>
      <c r="K45" s="391"/>
      <c r="L45" s="581"/>
      <c r="M45" s="283"/>
      <c r="N45" s="521">
        <f t="shared" ref="N45:N46" si="22">ROUND(L45*M45,2)</f>
        <v>0</v>
      </c>
      <c r="O45" s="181"/>
      <c r="P45" s="581">
        <f>'Preço Homem-Mês-m2'!R35</f>
        <v>1.52</v>
      </c>
      <c r="Q45" s="582">
        <f>'Área - Produt - Servente'!R36</f>
        <v>9</v>
      </c>
      <c r="R45" s="583">
        <f>ROUND(P45*Q45,2)</f>
        <v>13.68</v>
      </c>
    </row>
    <row r="46" spans="1:19" ht="31.5" customHeight="1">
      <c r="A46" s="835"/>
      <c r="B46" s="312" t="s">
        <v>320</v>
      </c>
      <c r="C46" s="325"/>
      <c r="D46" s="423">
        <f>'Preço Homem-Mês-m2'!F36</f>
        <v>1.17</v>
      </c>
      <c r="E46" s="283">
        <f>'Área - Produt - Servente'!F37</f>
        <v>157</v>
      </c>
      <c r="F46" s="472">
        <f t="shared" si="20"/>
        <v>183.69</v>
      </c>
      <c r="G46" s="193"/>
      <c r="H46" s="423">
        <f>'Preço Homem-Mês-m2'!J36</f>
        <v>1.8</v>
      </c>
      <c r="I46" s="283">
        <f>'Área - Produt - Servente'!J37</f>
        <v>90</v>
      </c>
      <c r="J46" s="472">
        <f t="shared" si="21"/>
        <v>162</v>
      </c>
      <c r="K46" s="391"/>
      <c r="L46" s="423">
        <f>'Preço Homem-Mês-m2'!N36</f>
        <v>1.8</v>
      </c>
      <c r="M46" s="283">
        <f>'Área - Produt - Servente'!N37</f>
        <v>100</v>
      </c>
      <c r="N46" s="472">
        <f t="shared" si="22"/>
        <v>180</v>
      </c>
      <c r="O46" s="181"/>
      <c r="P46" s="423">
        <f>'Preço Homem-Mês-m2'!R36</f>
        <v>1.52</v>
      </c>
      <c r="Q46" s="334">
        <f>'Área - Produt - Servente'!R37</f>
        <v>41</v>
      </c>
      <c r="R46" s="583">
        <f t="shared" ref="R46" si="23">ROUND(P46*Q46,2)</f>
        <v>62.32</v>
      </c>
    </row>
    <row r="47" spans="1:19" ht="31" customHeight="1" thickBot="1">
      <c r="A47" s="835"/>
      <c r="B47" s="584" t="s">
        <v>233</v>
      </c>
      <c r="C47" s="325"/>
      <c r="D47" s="548"/>
      <c r="E47" s="546"/>
      <c r="F47" s="585">
        <f>ROUND(SUM(F45:F46),2)</f>
        <v>269.10000000000002</v>
      </c>
      <c r="G47" s="530"/>
      <c r="H47" s="548"/>
      <c r="I47" s="546"/>
      <c r="J47" s="559">
        <f>ROUND(SUM(J45:J46),2)</f>
        <v>216</v>
      </c>
      <c r="K47" s="181"/>
      <c r="L47" s="548"/>
      <c r="M47" s="546"/>
      <c r="N47" s="559">
        <f>ROUND(SUM(N45:N46),2)</f>
        <v>180</v>
      </c>
      <c r="O47" s="189"/>
      <c r="P47" s="548"/>
      <c r="Q47" s="546"/>
      <c r="R47" s="586">
        <f>ROUND(SUM(R45:R46),2)</f>
        <v>76</v>
      </c>
      <c r="S47" s="200"/>
    </row>
    <row r="48" spans="1:19" ht="18" customHeight="1">
      <c r="A48" s="847" t="s">
        <v>142</v>
      </c>
      <c r="B48" s="901" t="s">
        <v>147</v>
      </c>
      <c r="C48" s="587"/>
      <c r="D48" s="872" t="s">
        <v>142</v>
      </c>
      <c r="E48" s="873"/>
      <c r="F48" s="874"/>
    </row>
    <row r="49" spans="1:7" ht="43.5" customHeight="1">
      <c r="A49" s="847"/>
      <c r="B49" s="901"/>
      <c r="C49" s="564"/>
      <c r="D49" s="537" t="s">
        <v>229</v>
      </c>
      <c r="E49" s="537" t="s">
        <v>230</v>
      </c>
      <c r="F49" s="539" t="s">
        <v>231</v>
      </c>
    </row>
    <row r="50" spans="1:7" ht="18" customHeight="1">
      <c r="A50" s="847"/>
      <c r="B50" s="566" t="s">
        <v>126</v>
      </c>
      <c r="C50" s="394"/>
      <c r="D50" s="270"/>
      <c r="E50" s="271"/>
      <c r="F50" s="272"/>
    </row>
    <row r="51" spans="1:7" ht="18" customHeight="1">
      <c r="A51" s="847"/>
      <c r="B51" s="347" t="s">
        <v>127</v>
      </c>
      <c r="C51" s="567"/>
      <c r="D51" s="472">
        <f>'Preço Homem-Mês-m2'!F40</f>
        <v>4.71</v>
      </c>
      <c r="E51" s="283">
        <f>'Área - Produt - Servente'!F44</f>
        <v>1582.21</v>
      </c>
      <c r="F51" s="472">
        <f t="shared" ref="F51:F54" si="24">ROUND(D51*E51,2)</f>
        <v>7452.21</v>
      </c>
    </row>
    <row r="52" spans="1:7" ht="18" customHeight="1">
      <c r="A52" s="847"/>
      <c r="B52" s="347" t="s">
        <v>128</v>
      </c>
      <c r="C52" s="567"/>
      <c r="D52" s="541">
        <f>'Preço Homem-Mês-m2'!F41</f>
        <v>2.59</v>
      </c>
      <c r="E52" s="283">
        <f>'Área - Produt - Servente'!F45</f>
        <v>252.4</v>
      </c>
      <c r="F52" s="472">
        <f t="shared" si="24"/>
        <v>653.72</v>
      </c>
    </row>
    <row r="53" spans="1:7" ht="18" customHeight="1">
      <c r="A53" s="847"/>
      <c r="B53" s="347" t="s">
        <v>129</v>
      </c>
      <c r="C53" s="567"/>
      <c r="D53" s="541">
        <f>'Preço Homem-Mês-m2'!F42</f>
        <v>4.3099999999999996</v>
      </c>
      <c r="E53" s="283">
        <f>'Área - Produt - Servente'!F46</f>
        <v>842.36</v>
      </c>
      <c r="F53" s="472">
        <f t="shared" si="24"/>
        <v>3630.57</v>
      </c>
    </row>
    <row r="54" spans="1:7" ht="18" customHeight="1">
      <c r="A54" s="847"/>
      <c r="B54" s="370" t="s">
        <v>131</v>
      </c>
      <c r="C54" s="569"/>
      <c r="D54" s="472">
        <f>'Preço Homem-Mês-m2'!F43</f>
        <v>50.45</v>
      </c>
      <c r="E54" s="283">
        <f>'Área - Produt - Servente'!F47</f>
        <v>135.49</v>
      </c>
      <c r="F54" s="472">
        <f t="shared" si="24"/>
        <v>6835.47</v>
      </c>
    </row>
    <row r="55" spans="1:7" ht="18" customHeight="1">
      <c r="A55" s="847"/>
      <c r="B55" s="544" t="s">
        <v>232</v>
      </c>
      <c r="C55" s="569"/>
      <c r="D55" s="548"/>
      <c r="E55" s="546"/>
      <c r="F55" s="549">
        <f>ROUND(SUM(F51:F54),2)</f>
        <v>18571.97</v>
      </c>
    </row>
    <row r="56" spans="1:7" ht="5.15" customHeight="1">
      <c r="A56" s="847"/>
      <c r="B56" s="544"/>
      <c r="C56" s="569"/>
      <c r="D56" s="570"/>
      <c r="E56" s="552"/>
      <c r="F56" s="549"/>
    </row>
    <row r="57" spans="1:7" ht="35.5" customHeight="1">
      <c r="A57" s="847"/>
      <c r="B57" s="271" t="s">
        <v>318</v>
      </c>
      <c r="C57" s="394"/>
      <c r="D57" s="270"/>
      <c r="E57" s="271"/>
      <c r="F57" s="272"/>
    </row>
    <row r="58" spans="1:7" ht="30" customHeight="1">
      <c r="A58" s="847"/>
      <c r="B58" s="309" t="s">
        <v>319</v>
      </c>
      <c r="C58" s="571"/>
      <c r="D58" s="558">
        <f>'Preço Homem-Mês-m2'!F45</f>
        <v>1.44</v>
      </c>
      <c r="E58" s="291">
        <f>'Área - Produt - Servente'!F49</f>
        <v>410.4</v>
      </c>
      <c r="F58" s="472">
        <f t="shared" ref="F58:F59" si="25">ROUND(D58*E58,2)</f>
        <v>590.98</v>
      </c>
    </row>
    <row r="59" spans="1:7" ht="30" customHeight="1">
      <c r="A59" s="847"/>
      <c r="B59" s="312" t="s">
        <v>320</v>
      </c>
      <c r="C59" s="571"/>
      <c r="D59" s="558">
        <f>'Preço Homem-Mês-m2'!F46</f>
        <v>1.44</v>
      </c>
      <c r="E59" s="283">
        <f>'Área - Produt - Servente'!F50</f>
        <v>410.4</v>
      </c>
      <c r="F59" s="472">
        <f t="shared" si="25"/>
        <v>590.98</v>
      </c>
    </row>
    <row r="60" spans="1:7" ht="32.15" customHeight="1" thickBot="1">
      <c r="A60" s="847"/>
      <c r="B60" s="560" t="s">
        <v>233</v>
      </c>
      <c r="C60" s="588"/>
      <c r="D60" s="589"/>
      <c r="E60" s="590"/>
      <c r="F60" s="591">
        <f>ROUND(SUM(F58:F59),2)</f>
        <v>1181.96</v>
      </c>
      <c r="G60" s="200"/>
    </row>
    <row r="61" spans="1:7" ht="18.649999999999999" customHeight="1">
      <c r="A61" s="1224" t="s">
        <v>143</v>
      </c>
      <c r="B61" s="1064" t="s">
        <v>147</v>
      </c>
      <c r="C61" s="587"/>
      <c r="D61" s="885" t="s">
        <v>143</v>
      </c>
      <c r="E61" s="886"/>
      <c r="F61" s="887"/>
    </row>
    <row r="62" spans="1:7" ht="43.5" customHeight="1">
      <c r="A62" s="1224"/>
      <c r="B62" s="901"/>
      <c r="C62" s="564"/>
      <c r="D62" s="537" t="s">
        <v>229</v>
      </c>
      <c r="E62" s="537" t="s">
        <v>230</v>
      </c>
      <c r="F62" s="539" t="s">
        <v>231</v>
      </c>
    </row>
    <row r="63" spans="1:7" ht="18.649999999999999" customHeight="1">
      <c r="A63" s="1224"/>
      <c r="B63" s="515" t="s">
        <v>126</v>
      </c>
      <c r="C63" s="394"/>
      <c r="D63" s="270"/>
      <c r="E63" s="271"/>
      <c r="F63" s="272"/>
    </row>
    <row r="64" spans="1:7" ht="18.649999999999999" customHeight="1">
      <c r="A64" s="1224"/>
      <c r="B64" s="347" t="s">
        <v>127</v>
      </c>
      <c r="C64" s="567"/>
      <c r="D64" s="472">
        <f>'Preço Homem-Mês-m2'!F51</f>
        <v>4.9800000000000004</v>
      </c>
      <c r="E64" s="283">
        <f>'Área - Produt - Servente'!F56</f>
        <v>10100.19</v>
      </c>
      <c r="F64" s="472">
        <f t="shared" ref="F64:F65" si="26">ROUND(D64*E64,2)</f>
        <v>50298.95</v>
      </c>
    </row>
    <row r="65" spans="1:7" ht="18.649999999999999" customHeight="1">
      <c r="A65" s="1224"/>
      <c r="B65" s="370" t="s">
        <v>131</v>
      </c>
      <c r="C65" s="569"/>
      <c r="D65" s="442">
        <f>'Preço Homem-Mês-m2'!F52</f>
        <v>107.3</v>
      </c>
      <c r="E65" s="283">
        <f>'Área - Produt - Servente'!F57</f>
        <v>80.81</v>
      </c>
      <c r="F65" s="472">
        <f t="shared" si="26"/>
        <v>8670.91</v>
      </c>
    </row>
    <row r="66" spans="1:7" ht="18.649999999999999" customHeight="1">
      <c r="A66" s="1224"/>
      <c r="B66" s="544" t="s">
        <v>232</v>
      </c>
      <c r="C66" s="569"/>
      <c r="D66" s="548"/>
      <c r="E66" s="546"/>
      <c r="F66" s="549">
        <f>ROUND(SUM(F64:F65),2)</f>
        <v>58969.86</v>
      </c>
    </row>
    <row r="67" spans="1:7" ht="6" customHeight="1">
      <c r="A67" s="1224"/>
      <c r="B67" s="550"/>
      <c r="C67" s="569"/>
      <c r="D67" s="570"/>
      <c r="E67" s="552"/>
      <c r="F67" s="549"/>
    </row>
    <row r="68" spans="1:7" ht="18.649999999999999" customHeight="1">
      <c r="A68" s="1224"/>
      <c r="B68" s="515" t="s">
        <v>132</v>
      </c>
      <c r="C68" s="394"/>
      <c r="D68" s="270"/>
      <c r="E68" s="271"/>
      <c r="F68" s="272"/>
    </row>
    <row r="69" spans="1:7" ht="31.5" customHeight="1">
      <c r="A69" s="1224"/>
      <c r="B69" s="309" t="s">
        <v>133</v>
      </c>
      <c r="C69" s="571"/>
      <c r="D69" s="472">
        <f>'Preço Homem-Mês-m2'!F54</f>
        <v>2.39</v>
      </c>
      <c r="E69" s="283">
        <f>'Área - Produt - Servente'!F59</f>
        <v>2450</v>
      </c>
      <c r="F69" s="472">
        <f t="shared" ref="F69" si="27">ROUND(D69*E69,2)</f>
        <v>5855.5</v>
      </c>
    </row>
    <row r="70" spans="1:7" ht="18" customHeight="1">
      <c r="A70" s="1224"/>
      <c r="B70" s="544" t="s">
        <v>234</v>
      </c>
      <c r="C70" s="211"/>
      <c r="D70" s="548"/>
      <c r="E70" s="546"/>
      <c r="F70" s="549">
        <f>F69</f>
        <v>5855.5</v>
      </c>
    </row>
    <row r="71" spans="1:7" ht="37.5" customHeight="1">
      <c r="A71" s="1224"/>
      <c r="B71" s="271" t="s">
        <v>318</v>
      </c>
      <c r="C71" s="394"/>
      <c r="D71" s="270"/>
      <c r="E71" s="271"/>
      <c r="F71" s="272"/>
    </row>
    <row r="72" spans="1:7" ht="32" customHeight="1">
      <c r="A72" s="1224"/>
      <c r="B72" s="312" t="s">
        <v>320</v>
      </c>
      <c r="C72" s="325"/>
      <c r="D72" s="592">
        <f>'Preço Homem-Mês-m2'!F56</f>
        <v>1.44</v>
      </c>
      <c r="E72" s="297">
        <f>'Área - Produt - Servente'!F61</f>
        <v>993</v>
      </c>
      <c r="F72" s="518">
        <f t="shared" ref="F72" si="28">ROUND(D72*E72,2)</f>
        <v>1429.92</v>
      </c>
    </row>
    <row r="73" spans="1:7" ht="32.15" customHeight="1" thickBot="1">
      <c r="A73" s="1224"/>
      <c r="B73" s="560" t="s">
        <v>233</v>
      </c>
      <c r="C73" s="325"/>
      <c r="D73" s="573"/>
      <c r="E73" s="593"/>
      <c r="F73" s="575">
        <f>F72</f>
        <v>1429.92</v>
      </c>
      <c r="G73" s="200"/>
    </row>
    <row r="74" spans="1:7" ht="18" customHeight="1">
      <c r="A74" s="1223" t="s">
        <v>144</v>
      </c>
      <c r="B74" s="919" t="s">
        <v>147</v>
      </c>
      <c r="C74" s="587"/>
      <c r="D74" s="893" t="s">
        <v>282</v>
      </c>
      <c r="E74" s="894"/>
      <c r="F74" s="895"/>
    </row>
    <row r="75" spans="1:7" ht="46.5" customHeight="1">
      <c r="A75" s="1224"/>
      <c r="B75" s="901"/>
      <c r="C75" s="564"/>
      <c r="D75" s="537" t="s">
        <v>229</v>
      </c>
      <c r="E75" s="537" t="s">
        <v>230</v>
      </c>
      <c r="F75" s="539" t="s">
        <v>231</v>
      </c>
    </row>
    <row r="76" spans="1:7" ht="18" customHeight="1">
      <c r="A76" s="1224"/>
      <c r="B76" s="515" t="s">
        <v>126</v>
      </c>
      <c r="C76" s="394"/>
      <c r="D76" s="270"/>
      <c r="E76" s="271"/>
      <c r="F76" s="272"/>
    </row>
    <row r="77" spans="1:7" ht="18" customHeight="1">
      <c r="A77" s="1224"/>
      <c r="B77" s="347" t="s">
        <v>127</v>
      </c>
      <c r="C77" s="567"/>
      <c r="D77" s="472">
        <f>'Preço Homem-Mês-m2'!F61</f>
        <v>12.34</v>
      </c>
      <c r="E77" s="283">
        <f>'Área - Produt - Servente'!F68</f>
        <v>225</v>
      </c>
      <c r="F77" s="518">
        <f t="shared" ref="F77:F79" si="29">ROUND(D77*E77,2)</f>
        <v>2776.5</v>
      </c>
    </row>
    <row r="78" spans="1:7" ht="18" customHeight="1">
      <c r="A78" s="1224"/>
      <c r="B78" s="347" t="s">
        <v>128</v>
      </c>
      <c r="C78" s="567"/>
      <c r="D78" s="541">
        <f>'Preço Homem-Mês-m2'!F62</f>
        <v>3.23</v>
      </c>
      <c r="E78" s="283">
        <f>'Área - Produt - Servente'!F69</f>
        <v>1068</v>
      </c>
      <c r="F78" s="518">
        <f t="shared" si="29"/>
        <v>3449.64</v>
      </c>
    </row>
    <row r="79" spans="1:7" ht="18" customHeight="1">
      <c r="A79" s="1224"/>
      <c r="B79" s="312" t="s">
        <v>130</v>
      </c>
      <c r="C79" s="567"/>
      <c r="D79" s="442">
        <f>'Preço Homem-Mês-m2'!F63</f>
        <v>26.9</v>
      </c>
      <c r="E79" s="283">
        <f>'Área - Produt - Servente'!F70</f>
        <v>7.77</v>
      </c>
      <c r="F79" s="518">
        <f t="shared" si="29"/>
        <v>209.01</v>
      </c>
    </row>
    <row r="80" spans="1:7" ht="18.649999999999999" customHeight="1">
      <c r="A80" s="1224"/>
      <c r="B80" s="544" t="s">
        <v>232</v>
      </c>
      <c r="C80" s="569"/>
      <c r="D80" s="548"/>
      <c r="E80" s="546"/>
      <c r="F80" s="549">
        <f>ROUND(SUM(F77:F79),2)</f>
        <v>6435.15</v>
      </c>
    </row>
    <row r="81" spans="1:7" ht="6" customHeight="1">
      <c r="A81" s="1224"/>
      <c r="B81" s="550"/>
      <c r="C81" s="569"/>
      <c r="D81" s="570"/>
      <c r="E81" s="552"/>
      <c r="F81" s="549"/>
    </row>
    <row r="82" spans="1:7" ht="18" customHeight="1">
      <c r="A82" s="1224"/>
      <c r="B82" s="515" t="s">
        <v>132</v>
      </c>
      <c r="C82" s="394"/>
      <c r="D82" s="270"/>
      <c r="E82" s="271"/>
      <c r="F82" s="272"/>
    </row>
    <row r="83" spans="1:7" ht="30.65" customHeight="1">
      <c r="A83" s="1224"/>
      <c r="B83" s="309" t="s">
        <v>133</v>
      </c>
      <c r="C83" s="571"/>
      <c r="D83" s="558">
        <f>'Preço Homem-Mês-m2'!F65</f>
        <v>2.99</v>
      </c>
      <c r="E83" s="283">
        <f>'Área - Produt - Servente'!F72</f>
        <v>273</v>
      </c>
      <c r="F83" s="518">
        <f t="shared" ref="F83:F85" si="30">ROUND(D83*E83,2)</f>
        <v>816.27</v>
      </c>
    </row>
    <row r="84" spans="1:7" ht="18" customHeight="1">
      <c r="A84" s="1224"/>
      <c r="B84" s="312" t="s">
        <v>134</v>
      </c>
      <c r="C84" s="571"/>
      <c r="D84" s="558">
        <f>'Preço Homem-Mês-m2'!F66</f>
        <v>0.9</v>
      </c>
      <c r="E84" s="283">
        <f>'Área - Produt - Servente'!F73</f>
        <v>532</v>
      </c>
      <c r="F84" s="518">
        <f t="shared" si="30"/>
        <v>478.8</v>
      </c>
    </row>
    <row r="85" spans="1:7" ht="30" customHeight="1">
      <c r="A85" s="1224"/>
      <c r="B85" s="312" t="s">
        <v>148</v>
      </c>
      <c r="C85" s="571"/>
      <c r="D85" s="558">
        <f>'Preço Homem-Mês-m2'!F67</f>
        <v>2.99</v>
      </c>
      <c r="E85" s="283">
        <f>'Área - Produt - Servente'!F74</f>
        <v>14</v>
      </c>
      <c r="F85" s="518">
        <f t="shared" si="30"/>
        <v>41.86</v>
      </c>
    </row>
    <row r="86" spans="1:7" ht="18.649999999999999" customHeight="1">
      <c r="A86" s="1224"/>
      <c r="B86" s="544" t="s">
        <v>234</v>
      </c>
      <c r="C86" s="569"/>
      <c r="D86" s="548"/>
      <c r="E86" s="546"/>
      <c r="F86" s="549">
        <f>ROUND(SUM(F83:F85),2)</f>
        <v>1336.93</v>
      </c>
    </row>
    <row r="87" spans="1:7" ht="6" customHeight="1">
      <c r="A87" s="1224"/>
      <c r="B87" s="550"/>
      <c r="C87" s="569"/>
      <c r="D87" s="570"/>
      <c r="E87" s="552"/>
      <c r="F87" s="549"/>
    </row>
    <row r="88" spans="1:7" ht="33" customHeight="1">
      <c r="A88" s="1224"/>
      <c r="B88" s="271" t="s">
        <v>318</v>
      </c>
      <c r="C88" s="394"/>
      <c r="D88" s="270"/>
      <c r="E88" s="271"/>
      <c r="F88" s="272"/>
    </row>
    <row r="89" spans="1:7" ht="29.5" customHeight="1">
      <c r="A89" s="1224"/>
      <c r="B89" s="309" t="s">
        <v>319</v>
      </c>
      <c r="C89" s="325"/>
      <c r="D89" s="423">
        <f>'Preço Homem-Mês-m2'!F69</f>
        <v>1.8</v>
      </c>
      <c r="E89" s="298">
        <f>'Área - Produt - Servente'!F76</f>
        <v>84</v>
      </c>
      <c r="F89" s="518">
        <f t="shared" ref="F89:F90" si="31">ROUND(D89*E89,2)</f>
        <v>151.19999999999999</v>
      </c>
    </row>
    <row r="90" spans="1:7" ht="29.5" customHeight="1">
      <c r="A90" s="1224"/>
      <c r="B90" s="312" t="s">
        <v>320</v>
      </c>
      <c r="C90" s="325"/>
      <c r="D90" s="517">
        <f>'Preço Homem-Mês-m2'!F70</f>
        <v>1.8</v>
      </c>
      <c r="E90" s="283">
        <f>'Área - Produt - Servente'!F77</f>
        <v>84</v>
      </c>
      <c r="F90" s="518">
        <f t="shared" si="31"/>
        <v>151.19999999999999</v>
      </c>
    </row>
    <row r="91" spans="1:7" ht="34.5" customHeight="1" thickBot="1">
      <c r="A91" s="1228"/>
      <c r="B91" s="594" t="s">
        <v>233</v>
      </c>
      <c r="C91" s="595"/>
      <c r="D91" s="589"/>
      <c r="E91" s="596"/>
      <c r="F91" s="591">
        <f>ROUND(SUM(F89:F90),2)</f>
        <v>302.39999999999998</v>
      </c>
      <c r="G91" s="200"/>
    </row>
    <row r="92" spans="1:7" ht="18" customHeight="1">
      <c r="A92" s="1223" t="s">
        <v>146</v>
      </c>
      <c r="B92" s="919" t="s">
        <v>147</v>
      </c>
      <c r="C92" s="587"/>
      <c r="D92" s="903" t="s">
        <v>146</v>
      </c>
      <c r="E92" s="904"/>
      <c r="F92" s="905"/>
    </row>
    <row r="93" spans="1:7" ht="46" customHeight="1">
      <c r="A93" s="1224"/>
      <c r="B93" s="901"/>
      <c r="C93" s="564"/>
      <c r="D93" s="537" t="s">
        <v>229</v>
      </c>
      <c r="E93" s="537" t="s">
        <v>230</v>
      </c>
      <c r="F93" s="539" t="s">
        <v>231</v>
      </c>
    </row>
    <row r="94" spans="1:7" ht="18" customHeight="1">
      <c r="A94" s="1224"/>
      <c r="B94" s="515" t="s">
        <v>126</v>
      </c>
      <c r="C94" s="394"/>
      <c r="D94" s="270"/>
      <c r="E94" s="271"/>
      <c r="F94" s="272"/>
    </row>
    <row r="95" spans="1:7" ht="18" customHeight="1">
      <c r="A95" s="1224"/>
      <c r="B95" s="347" t="s">
        <v>127</v>
      </c>
      <c r="C95" s="567"/>
      <c r="D95" s="472">
        <f>'Preço Homem-Mês-m2'!F74</f>
        <v>4.67</v>
      </c>
      <c r="E95" s="283">
        <f>'Área - Produt - Servente'!F83</f>
        <v>4937</v>
      </c>
      <c r="F95" s="518">
        <f t="shared" ref="F95:F98" si="32">ROUND(D95*E95,2)</f>
        <v>23055.79</v>
      </c>
    </row>
    <row r="96" spans="1:7" ht="18" customHeight="1">
      <c r="A96" s="1224"/>
      <c r="B96" s="347" t="s">
        <v>128</v>
      </c>
      <c r="C96" s="567"/>
      <c r="D96" s="541">
        <f>'Preço Homem-Mês-m2'!F75</f>
        <v>2.59</v>
      </c>
      <c r="E96" s="283">
        <f>'Área - Produt - Servente'!F84</f>
        <v>145</v>
      </c>
      <c r="F96" s="518">
        <f t="shared" si="32"/>
        <v>375.55</v>
      </c>
    </row>
    <row r="97" spans="1:13" ht="18" customHeight="1">
      <c r="A97" s="1224"/>
      <c r="B97" s="347" t="s">
        <v>129</v>
      </c>
      <c r="C97" s="567"/>
      <c r="D97" s="541">
        <f>'Preço Homem-Mês-m2'!F76</f>
        <v>4.3099999999999996</v>
      </c>
      <c r="E97" s="283">
        <f>'Área - Produt - Servente'!F85</f>
        <v>317</v>
      </c>
      <c r="F97" s="518">
        <f t="shared" si="32"/>
        <v>1366.27</v>
      </c>
    </row>
    <row r="98" spans="1:13" ht="18" customHeight="1">
      <c r="A98" s="1224"/>
      <c r="B98" s="312" t="s">
        <v>130</v>
      </c>
      <c r="C98" s="567"/>
      <c r="D98" s="442">
        <f>'Preço Homem-Mês-m2'!F77</f>
        <v>21.55</v>
      </c>
      <c r="E98" s="283">
        <f>'Área - Produt - Servente'!F86</f>
        <v>300</v>
      </c>
      <c r="F98" s="518">
        <f t="shared" si="32"/>
        <v>6465</v>
      </c>
    </row>
    <row r="99" spans="1:13" ht="18.649999999999999" customHeight="1">
      <c r="A99" s="1224"/>
      <c r="B99" s="544" t="s">
        <v>232</v>
      </c>
      <c r="C99" s="569"/>
      <c r="D99" s="548"/>
      <c r="E99" s="546"/>
      <c r="F99" s="549">
        <f>ROUND(SUM(F95:F98),2)</f>
        <v>31262.61</v>
      </c>
    </row>
    <row r="100" spans="1:13" ht="6" customHeight="1">
      <c r="A100" s="1224"/>
      <c r="B100" s="550"/>
      <c r="C100" s="569"/>
      <c r="D100" s="570"/>
      <c r="E100" s="552"/>
      <c r="F100" s="549"/>
    </row>
    <row r="101" spans="1:13" ht="18" customHeight="1">
      <c r="A101" s="1224"/>
      <c r="B101" s="515" t="s">
        <v>132</v>
      </c>
      <c r="C101" s="394"/>
      <c r="D101" s="270"/>
      <c r="E101" s="271"/>
      <c r="F101" s="272"/>
    </row>
    <row r="102" spans="1:13" ht="31.5" customHeight="1">
      <c r="A102" s="1224"/>
      <c r="B102" s="309" t="s">
        <v>133</v>
      </c>
      <c r="C102" s="571"/>
      <c r="D102" s="558">
        <f>'Preço Homem-Mês-m2'!F79</f>
        <v>2.39</v>
      </c>
      <c r="E102" s="283">
        <f>'Área - Produt - Servente'!F88</f>
        <v>103</v>
      </c>
      <c r="F102" s="518">
        <f t="shared" ref="F102" si="33">ROUND(D102*E102,2)</f>
        <v>246.17</v>
      </c>
    </row>
    <row r="103" spans="1:13" ht="18.649999999999999" customHeight="1">
      <c r="A103" s="1224"/>
      <c r="B103" s="544" t="s">
        <v>234</v>
      </c>
      <c r="C103" s="569"/>
      <c r="D103" s="548"/>
      <c r="E103" s="546"/>
      <c r="F103" s="549">
        <f>F102</f>
        <v>246.17</v>
      </c>
    </row>
    <row r="104" spans="1:13" ht="6" customHeight="1">
      <c r="A104" s="1224"/>
      <c r="B104" s="550"/>
      <c r="C104" s="569"/>
      <c r="D104" s="570"/>
      <c r="E104" s="552"/>
      <c r="F104" s="549"/>
    </row>
    <row r="105" spans="1:13" ht="36" customHeight="1">
      <c r="A105" s="1224"/>
      <c r="B105" s="271" t="s">
        <v>318</v>
      </c>
      <c r="C105" s="394"/>
      <c r="D105" s="270"/>
      <c r="E105" s="271"/>
      <c r="F105" s="272"/>
    </row>
    <row r="106" spans="1:13" ht="31" customHeight="1">
      <c r="A106" s="1224"/>
      <c r="B106" s="312" t="s">
        <v>320</v>
      </c>
      <c r="C106" s="571"/>
      <c r="D106" s="558">
        <f>'Preço Homem-Mês-m2'!F81</f>
        <v>1.44</v>
      </c>
      <c r="E106" s="283">
        <f>'Área - Produt - Servente'!F90</f>
        <v>577</v>
      </c>
      <c r="F106" s="518">
        <f t="shared" ref="F106" si="34">ROUND(D106*E106,2)</f>
        <v>830.88</v>
      </c>
    </row>
    <row r="107" spans="1:13" ht="32.15" customHeight="1">
      <c r="A107" s="1224"/>
      <c r="B107" s="560" t="s">
        <v>233</v>
      </c>
      <c r="C107" s="325"/>
      <c r="D107" s="573"/>
      <c r="E107" s="593"/>
      <c r="F107" s="575">
        <f>F106</f>
        <v>830.88</v>
      </c>
      <c r="G107" s="200"/>
    </row>
    <row r="108" spans="1:13">
      <c r="M108" s="180">
        <v>1213.29</v>
      </c>
    </row>
    <row r="109" spans="1:13">
      <c r="M109" s="180">
        <f>SUM(M108:M108)</f>
        <v>1213.29</v>
      </c>
    </row>
  </sheetData>
  <mergeCells count="31">
    <mergeCell ref="A1:R1"/>
    <mergeCell ref="A2:R2"/>
    <mergeCell ref="A4:H4"/>
    <mergeCell ref="I4:R4"/>
    <mergeCell ref="A6:R6"/>
    <mergeCell ref="A8:R8"/>
    <mergeCell ref="B10:B11"/>
    <mergeCell ref="B29:B30"/>
    <mergeCell ref="L29:N29"/>
    <mergeCell ref="P29:R29"/>
    <mergeCell ref="A29:A47"/>
    <mergeCell ref="D44:F44"/>
    <mergeCell ref="H29:J29"/>
    <mergeCell ref="L10:N10"/>
    <mergeCell ref="P10:R10"/>
    <mergeCell ref="H10:J10"/>
    <mergeCell ref="D74:F74"/>
    <mergeCell ref="D92:F92"/>
    <mergeCell ref="A10:A28"/>
    <mergeCell ref="B92:B93"/>
    <mergeCell ref="D10:F10"/>
    <mergeCell ref="D29:F29"/>
    <mergeCell ref="B74:B75"/>
    <mergeCell ref="A74:A91"/>
    <mergeCell ref="A92:A107"/>
    <mergeCell ref="A48:A60"/>
    <mergeCell ref="B48:B49"/>
    <mergeCell ref="B61:B62"/>
    <mergeCell ref="A61:A73"/>
    <mergeCell ref="D48:F48"/>
    <mergeCell ref="D61:F61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843"/>
  <sheetViews>
    <sheetView showGridLines="0" topLeftCell="A25" zoomScale="70" zoomScaleNormal="70" workbookViewId="0">
      <selection activeCell="J42" sqref="J42"/>
    </sheetView>
  </sheetViews>
  <sheetFormatPr defaultColWidth="8.7265625" defaultRowHeight="14.5"/>
  <cols>
    <col min="1" max="1" width="5.7265625" style="180" customWidth="1"/>
    <col min="2" max="2" width="8.54296875" style="663" customWidth="1"/>
    <col min="3" max="3" width="25.6328125" style="180" customWidth="1"/>
    <col min="4" max="4" width="25.1796875" style="180" customWidth="1"/>
    <col min="5" max="6" width="19.81640625" style="180" customWidth="1"/>
    <col min="7" max="7" width="23" style="180" customWidth="1"/>
    <col min="8" max="9" width="21.08984375" style="180" customWidth="1"/>
    <col min="10" max="10" width="23.54296875" style="180" customWidth="1"/>
    <col min="11" max="11" width="6.81640625" style="180" customWidth="1"/>
    <col min="12" max="12" width="16.54296875" style="180" hidden="1" customWidth="1"/>
    <col min="13" max="13" width="14.453125" style="180" hidden="1" customWidth="1"/>
    <col min="14" max="1018" width="9.54296875" style="180" customWidth="1"/>
    <col min="1019" max="16384" width="8.7265625" style="180"/>
  </cols>
  <sheetData>
    <row r="1" spans="1:14" ht="28" customHeight="1">
      <c r="A1" s="1275" t="s">
        <v>0</v>
      </c>
      <c r="B1" s="1275"/>
      <c r="C1" s="1275"/>
      <c r="D1" s="1275"/>
      <c r="E1" s="1275"/>
      <c r="F1" s="1275"/>
      <c r="G1" s="1275"/>
      <c r="H1" s="1275"/>
      <c r="I1" s="1275"/>
      <c r="J1" s="1275"/>
    </row>
    <row r="2" spans="1:14" ht="27" customHeight="1">
      <c r="A2" s="735" t="str">
        <f>'Preço Mensal por Área'!A2</f>
        <v>Contratação de serviços de limpeza asseio e conservação, com fornecimento de material, utensílios e equipamentos, para as unidades do município do Rio de Janeiro</v>
      </c>
      <c r="B2" s="735"/>
      <c r="C2" s="735"/>
      <c r="D2" s="735"/>
      <c r="E2" s="735"/>
      <c r="F2" s="735"/>
      <c r="G2" s="735"/>
      <c r="H2" s="735"/>
      <c r="I2" s="735"/>
      <c r="J2" s="735"/>
    </row>
    <row r="3" spans="1:14" s="179" customFormat="1" ht="6" customHeight="1">
      <c r="A3" s="597"/>
      <c r="B3" s="598"/>
      <c r="C3" s="598"/>
      <c r="D3" s="598"/>
      <c r="E3" s="599"/>
      <c r="F3" s="599"/>
      <c r="G3" s="599"/>
      <c r="H3" s="599"/>
      <c r="I3" s="599"/>
    </row>
    <row r="4" spans="1:14" s="179" customFormat="1" ht="19.5" customHeight="1">
      <c r="A4" s="779" t="s">
        <v>1</v>
      </c>
      <c r="B4" s="779"/>
      <c r="C4" s="779"/>
      <c r="D4" s="779"/>
      <c r="E4" s="755" t="str">
        <f>CCT!J4</f>
        <v>10707.720194-2025-26</v>
      </c>
      <c r="F4" s="755"/>
      <c r="G4" s="755"/>
      <c r="H4" s="755"/>
      <c r="I4" s="755"/>
      <c r="J4" s="755"/>
    </row>
    <row r="5" spans="1:14" s="179" customFormat="1" ht="9" customHeight="1">
      <c r="A5" s="1276"/>
      <c r="B5" s="1277"/>
      <c r="C5" s="1277"/>
      <c r="D5" s="1277"/>
      <c r="E5" s="1277"/>
      <c r="F5" s="1277"/>
      <c r="G5" s="1277"/>
      <c r="H5" s="1277"/>
      <c r="I5" s="1277"/>
      <c r="J5" s="1277"/>
    </row>
    <row r="6" spans="1:14" s="179" customFormat="1" ht="19.5" customHeight="1">
      <c r="A6" s="731" t="s">
        <v>2</v>
      </c>
      <c r="B6" s="731"/>
      <c r="C6" s="731"/>
      <c r="D6" s="731"/>
      <c r="E6" s="731"/>
      <c r="F6" s="731"/>
      <c r="G6" s="731"/>
      <c r="H6" s="731"/>
      <c r="I6" s="731"/>
      <c r="J6" s="731"/>
    </row>
    <row r="7" spans="1:14" ht="23.5" customHeight="1">
      <c r="A7" s="1278" t="s">
        <v>293</v>
      </c>
      <c r="B7" s="1280" t="s">
        <v>290</v>
      </c>
      <c r="C7" s="1280"/>
      <c r="D7" s="1280"/>
      <c r="E7" s="1280"/>
      <c r="F7" s="1280"/>
      <c r="G7" s="1280"/>
      <c r="H7" s="1280"/>
      <c r="I7" s="1280"/>
      <c r="J7" s="1281"/>
    </row>
    <row r="8" spans="1:14" ht="25.5" customHeight="1">
      <c r="A8" s="1279"/>
      <c r="B8" s="1282" t="str">
        <f>'Preço Mensal por Área'!A2</f>
        <v>Contratação de serviços de limpeza asseio e conservação, com fornecimento de material, utensílios e equipamentos, para as unidades do município do Rio de Janeiro</v>
      </c>
      <c r="C8" s="1282"/>
      <c r="D8" s="1282"/>
      <c r="E8" s="1282"/>
      <c r="F8" s="1282"/>
      <c r="G8" s="1282"/>
      <c r="H8" s="1282"/>
      <c r="I8" s="1282"/>
      <c r="J8" s="1282"/>
    </row>
    <row r="9" spans="1:14" ht="6.65" customHeight="1">
      <c r="A9" s="1279"/>
      <c r="B9" s="600"/>
      <c r="C9" s="601"/>
      <c r="D9" s="601"/>
      <c r="E9" s="601"/>
      <c r="F9" s="601"/>
      <c r="G9" s="601"/>
      <c r="H9" s="601"/>
      <c r="I9" s="601"/>
      <c r="J9" s="601"/>
    </row>
    <row r="10" spans="1:14" ht="20.149999999999999" customHeight="1" thickBot="1">
      <c r="A10" s="1279"/>
      <c r="B10" s="1283" t="s">
        <v>291</v>
      </c>
      <c r="C10" s="1283"/>
      <c r="D10" s="1283"/>
      <c r="E10" s="1283"/>
      <c r="F10" s="1283"/>
      <c r="G10" s="1283"/>
      <c r="H10" s="1283"/>
      <c r="I10" s="1283"/>
      <c r="J10" s="1283"/>
    </row>
    <row r="11" spans="1:14" ht="8.5" customHeight="1">
      <c r="A11" s="1279"/>
      <c r="B11" s="180"/>
    </row>
    <row r="12" spans="1:14" ht="17.5" customHeight="1">
      <c r="A12" s="1279"/>
      <c r="B12" s="1274" t="s">
        <v>337</v>
      </c>
      <c r="C12" s="1274"/>
      <c r="D12" s="1274"/>
      <c r="E12" s="1274"/>
      <c r="F12" s="1274"/>
      <c r="G12" s="1274"/>
      <c r="H12" s="829">
        <f>'Benefícios e Outros Dados'!I8</f>
        <v>60</v>
      </c>
      <c r="I12" s="829"/>
      <c r="J12" s="829"/>
      <c r="K12" s="602"/>
      <c r="L12" s="602"/>
      <c r="M12" s="602"/>
      <c r="N12" s="602"/>
    </row>
    <row r="13" spans="1:14" ht="8.5" customHeight="1" thickBot="1">
      <c r="A13" s="1279"/>
      <c r="B13" s="180"/>
    </row>
    <row r="14" spans="1:14" ht="25.5" customHeight="1">
      <c r="A14" s="1279"/>
      <c r="B14" s="1269" t="s">
        <v>297</v>
      </c>
      <c r="C14" s="1284" t="s">
        <v>167</v>
      </c>
      <c r="D14" s="1262" t="s">
        <v>296</v>
      </c>
      <c r="E14" s="1264" t="s">
        <v>292</v>
      </c>
      <c r="F14" s="1254" t="s">
        <v>324</v>
      </c>
      <c r="G14" s="1255"/>
      <c r="H14" s="1286" t="s">
        <v>325</v>
      </c>
      <c r="I14" s="1254" t="s">
        <v>326</v>
      </c>
      <c r="J14" s="1293"/>
    </row>
    <row r="15" spans="1:14" ht="25.5" customHeight="1" thickBot="1">
      <c r="A15" s="1279"/>
      <c r="B15" s="1270"/>
      <c r="C15" s="1285"/>
      <c r="D15" s="1263"/>
      <c r="E15" s="1265"/>
      <c r="F15" s="1256"/>
      <c r="G15" s="1257"/>
      <c r="H15" s="1287"/>
      <c r="I15" s="1256"/>
      <c r="J15" s="1294"/>
    </row>
    <row r="16" spans="1:14" ht="18" customHeight="1">
      <c r="A16" s="1279"/>
      <c r="B16" s="1271" t="s">
        <v>137</v>
      </c>
      <c r="C16" s="603" t="s">
        <v>139</v>
      </c>
      <c r="D16" s="604">
        <f>ROUND('Preço Mensal por Área'!F16+'Preço Mensal por Área'!F22+'Preço Mensal por Área'!F27,2)</f>
        <v>6840.05</v>
      </c>
      <c r="E16" s="1312">
        <f>ROUND(SUM(D16:D19),2)</f>
        <v>35049.480000000003</v>
      </c>
      <c r="F16" s="1260">
        <f t="shared" ref="F16:F28" si="0">ROUND(D16*$H$12,2)</f>
        <v>410403</v>
      </c>
      <c r="G16" s="1261"/>
      <c r="H16" s="1245">
        <f>ROUND(SUM(F16:F19),2)</f>
        <v>2102968.7999999998</v>
      </c>
      <c r="I16" s="1295">
        <f>ROUND(SUM(H16:H28),2)</f>
        <v>11826602.4</v>
      </c>
      <c r="J16" s="1296"/>
      <c r="L16" s="207">
        <f>'Servente COM Adicional'!G144</f>
        <v>6835.65</v>
      </c>
      <c r="M16" s="212">
        <f t="shared" ref="M16:M17" si="1">D16-L16</f>
        <v>4.4000000000000004</v>
      </c>
    </row>
    <row r="17" spans="1:14" ht="18" customHeight="1">
      <c r="A17" s="1279"/>
      <c r="B17" s="1272"/>
      <c r="C17" s="605" t="s">
        <v>150</v>
      </c>
      <c r="D17" s="606">
        <f>ROUND('Preço Mensal por Área'!J16+'Preço Mensal por Área'!J22+'Preço Mensal por Área'!J27,2)</f>
        <v>6834.87</v>
      </c>
      <c r="E17" s="1243"/>
      <c r="F17" s="1313">
        <f t="shared" si="0"/>
        <v>410092.2</v>
      </c>
      <c r="G17" s="1314"/>
      <c r="H17" s="1246"/>
      <c r="I17" s="1297"/>
      <c r="J17" s="1298"/>
      <c r="L17" s="207">
        <f>'Servente COM Adicional'!G144</f>
        <v>6835.65</v>
      </c>
      <c r="M17" s="212">
        <f t="shared" si="1"/>
        <v>-0.78</v>
      </c>
    </row>
    <row r="18" spans="1:14" ht="18" customHeight="1">
      <c r="A18" s="1279"/>
      <c r="B18" s="1272"/>
      <c r="C18" s="607" t="s">
        <v>140</v>
      </c>
      <c r="D18" s="606">
        <f>ROUND('Preço Mensal por Área'!N16+'Preço Mensal por Área'!N22+'Preço Mensal por Área'!N27,2)</f>
        <v>14534.14</v>
      </c>
      <c r="E18" s="1243"/>
      <c r="F18" s="1315">
        <f t="shared" si="0"/>
        <v>872048.4</v>
      </c>
      <c r="G18" s="1316"/>
      <c r="H18" s="1246"/>
      <c r="I18" s="1297"/>
      <c r="J18" s="1298"/>
      <c r="L18" s="207">
        <f>'Servente SEM Adicional'!H142+'Servente COM Adicional'!H144</f>
        <v>14533</v>
      </c>
      <c r="M18" s="212">
        <f>D18-L18</f>
        <v>1.1399999999999999</v>
      </c>
    </row>
    <row r="19" spans="1:14" ht="18" customHeight="1" thickBot="1">
      <c r="A19" s="1279"/>
      <c r="B19" s="1273"/>
      <c r="C19" s="608" t="s">
        <v>141</v>
      </c>
      <c r="D19" s="609">
        <f>ROUND('Preço Mensal por Área'!R16+'Preço Mensal por Área'!R22+'Preço Mensal por Área'!R27,2)</f>
        <v>6840.42</v>
      </c>
      <c r="E19" s="1244"/>
      <c r="F19" s="1258">
        <f t="shared" si="0"/>
        <v>410425.2</v>
      </c>
      <c r="G19" s="1259"/>
      <c r="H19" s="1247"/>
      <c r="I19" s="1297"/>
      <c r="J19" s="1298"/>
      <c r="L19" s="207">
        <f>'Servente COM Adicional'!G144</f>
        <v>6835.65</v>
      </c>
      <c r="M19" s="212">
        <f>D19-L19</f>
        <v>4.7699999999999996</v>
      </c>
    </row>
    <row r="20" spans="1:14" ht="18" customHeight="1">
      <c r="A20" s="1279"/>
      <c r="B20" s="1288" t="s">
        <v>138</v>
      </c>
      <c r="C20" s="610" t="s">
        <v>138</v>
      </c>
      <c r="D20" s="611">
        <f>ROUND('Preço Mensal por Área'!F36+'Preço Mensal por Área'!F42+'Preço Mensal por Área'!F47,2)</f>
        <v>12053.65</v>
      </c>
      <c r="E20" s="1243">
        <f>ROUND(SUM(D20:D23),2)</f>
        <v>35035.440000000002</v>
      </c>
      <c r="F20" s="1260">
        <f t="shared" si="0"/>
        <v>723219</v>
      </c>
      <c r="G20" s="1261"/>
      <c r="H20" s="1246">
        <f>ROUND(SUM(F20:F23),2)</f>
        <v>2102126.4</v>
      </c>
      <c r="I20" s="1297"/>
      <c r="J20" s="1298"/>
      <c r="L20" s="207">
        <f>'Servente SEM Adicional'!G142+'Servente COM Adicional'!G144</f>
        <v>12066.62</v>
      </c>
      <c r="M20" s="212">
        <f>D20-L20</f>
        <v>-12.97</v>
      </c>
    </row>
    <row r="21" spans="1:14" ht="18" customHeight="1">
      <c r="A21" s="1279"/>
      <c r="B21" s="1289"/>
      <c r="C21" s="612" t="s">
        <v>240</v>
      </c>
      <c r="D21" s="613">
        <f>ROUND('Preço Mensal por Área'!J36+'Preço Mensal por Área'!J42+'Preço Mensal por Área'!J47,2)</f>
        <v>8073.6</v>
      </c>
      <c r="E21" s="1243"/>
      <c r="F21" s="1313">
        <f t="shared" si="0"/>
        <v>484416</v>
      </c>
      <c r="G21" s="1314"/>
      <c r="H21" s="1246"/>
      <c r="I21" s="1297"/>
      <c r="J21" s="1298"/>
      <c r="L21" s="207">
        <f>'Servente COM Adicional'!H144</f>
        <v>8068.81</v>
      </c>
      <c r="M21" s="212">
        <f t="shared" ref="M21:M24" si="2">D21-L21</f>
        <v>4.79</v>
      </c>
    </row>
    <row r="22" spans="1:14" ht="18" customHeight="1">
      <c r="A22" s="1279"/>
      <c r="B22" s="1289"/>
      <c r="C22" s="614" t="s">
        <v>241</v>
      </c>
      <c r="D22" s="613">
        <f>ROUND('Preço Mensal por Área'!N36+'Preço Mensal por Área'!N42+'Preço Mensal por Área'!N47,2)</f>
        <v>8070.63</v>
      </c>
      <c r="E22" s="1243"/>
      <c r="F22" s="1313">
        <f t="shared" si="0"/>
        <v>484237.8</v>
      </c>
      <c r="G22" s="1314"/>
      <c r="H22" s="1246"/>
      <c r="I22" s="1297"/>
      <c r="J22" s="1298"/>
      <c r="L22" s="207">
        <f>'Servente COM Adicional'!H144</f>
        <v>8068.81</v>
      </c>
      <c r="M22" s="212">
        <f t="shared" si="2"/>
        <v>1.82</v>
      </c>
    </row>
    <row r="23" spans="1:14" ht="18" customHeight="1" thickBot="1">
      <c r="A23" s="1279"/>
      <c r="B23" s="1290"/>
      <c r="C23" s="615" t="s">
        <v>242</v>
      </c>
      <c r="D23" s="616">
        <f>ROUND('Preço Mensal por Área'!R36+'Preço Mensal por Área'!R42+'Preço Mensal por Área'!R47,2)</f>
        <v>6837.56</v>
      </c>
      <c r="E23" s="1244"/>
      <c r="F23" s="1258">
        <f t="shared" si="0"/>
        <v>410253.6</v>
      </c>
      <c r="G23" s="1259"/>
      <c r="H23" s="1247"/>
      <c r="I23" s="1297"/>
      <c r="J23" s="1298"/>
      <c r="L23" s="207">
        <f>'Servente COM Adicional'!G144</f>
        <v>6835.65</v>
      </c>
      <c r="M23" s="212">
        <f t="shared" si="2"/>
        <v>1.91</v>
      </c>
    </row>
    <row r="24" spans="1:14" s="200" customFormat="1" ht="56" customHeight="1" thickBot="1">
      <c r="A24" s="1279"/>
      <c r="B24" s="617" t="s">
        <v>142</v>
      </c>
      <c r="C24" s="618" t="s">
        <v>142</v>
      </c>
      <c r="D24" s="619">
        <f>ROUND('Preço Mensal por Área'!F55+'Preço Mensal por Área'!F60,2)</f>
        <v>19753.93</v>
      </c>
      <c r="E24" s="620">
        <f>D24</f>
        <v>19753.93</v>
      </c>
      <c r="F24" s="1252">
        <f t="shared" si="0"/>
        <v>1185235.8</v>
      </c>
      <c r="G24" s="1253"/>
      <c r="H24" s="621">
        <f>F24</f>
        <v>1185235.8</v>
      </c>
      <c r="I24" s="1297"/>
      <c r="J24" s="1298"/>
      <c r="L24" s="248">
        <f>(2*'Servente SEM Adicional'!H142)+'Servente COM Adicional'!G144</f>
        <v>19764.03</v>
      </c>
      <c r="M24" s="622">
        <f t="shared" si="2"/>
        <v>-10.1</v>
      </c>
    </row>
    <row r="25" spans="1:14" s="200" customFormat="1" ht="18" customHeight="1">
      <c r="A25" s="1279"/>
      <c r="B25" s="1291" t="s">
        <v>143</v>
      </c>
      <c r="C25" s="623" t="s">
        <v>143</v>
      </c>
      <c r="D25" s="624">
        <f>ROUND('Preço Mensal por Área'!F66+'Preço Mensal por Área'!F70+'Preço Mensal por Área'!F73,2)</f>
        <v>66255.28</v>
      </c>
      <c r="E25" s="1308">
        <f>ROUND(SUM(D25:D26),2)</f>
        <v>66857.05</v>
      </c>
      <c r="F25" s="1260">
        <f t="shared" si="0"/>
        <v>3975316.8</v>
      </c>
      <c r="G25" s="1261"/>
      <c r="H25" s="1310">
        <f>ROUND(SUM(F25:F26),2)</f>
        <v>4011423</v>
      </c>
      <c r="I25" s="1297"/>
      <c r="J25" s="1298"/>
      <c r="L25" s="1241">
        <f>(9*'Servente SEM Adicional'!H142)+'Servente COM Adicional'!I144</f>
        <v>66848.289999999994</v>
      </c>
      <c r="M25" s="1242">
        <f>D25+D26-L25</f>
        <v>8.76</v>
      </c>
    </row>
    <row r="26" spans="1:14" s="200" customFormat="1" ht="36.5" customHeight="1" thickBot="1">
      <c r="A26" s="1279"/>
      <c r="B26" s="1292"/>
      <c r="C26" s="625" t="s">
        <v>295</v>
      </c>
      <c r="D26" s="626">
        <f>ROUND('Servente COM Adicional'!I144-'Servente COM Adicional'!H144,2)</f>
        <v>601.77</v>
      </c>
      <c r="E26" s="1309"/>
      <c r="F26" s="1258">
        <f t="shared" si="0"/>
        <v>36106.199999999997</v>
      </c>
      <c r="G26" s="1259"/>
      <c r="H26" s="1311"/>
      <c r="I26" s="1297"/>
      <c r="J26" s="1298"/>
      <c r="L26" s="1241"/>
      <c r="M26" s="1242"/>
    </row>
    <row r="27" spans="1:14" s="200" customFormat="1" ht="49" customHeight="1" thickBot="1">
      <c r="A27" s="1279"/>
      <c r="B27" s="627" t="s">
        <v>144</v>
      </c>
      <c r="C27" s="628" t="s">
        <v>294</v>
      </c>
      <c r="D27" s="620">
        <f>ROUND('Preço Mensal por Área'!F80+'Preço Mensal por Área'!F86+'Preço Mensal por Área'!F91,2)</f>
        <v>8074.48</v>
      </c>
      <c r="E27" s="620">
        <f>D27</f>
        <v>8074.48</v>
      </c>
      <c r="F27" s="1252">
        <f t="shared" si="0"/>
        <v>484468.8</v>
      </c>
      <c r="G27" s="1253"/>
      <c r="H27" s="621">
        <f>F27</f>
        <v>484468.8</v>
      </c>
      <c r="I27" s="1297"/>
      <c r="J27" s="1298"/>
      <c r="L27" s="248">
        <f>'Servente COM Adicional'!H144</f>
        <v>8068.81</v>
      </c>
      <c r="M27" s="629">
        <f>D27-L27</f>
        <v>5.67</v>
      </c>
    </row>
    <row r="28" spans="1:14" s="200" customFormat="1" ht="52.5" customHeight="1" thickBot="1">
      <c r="A28" s="1279"/>
      <c r="B28" s="627" t="s">
        <v>146</v>
      </c>
      <c r="C28" s="630" t="s">
        <v>146</v>
      </c>
      <c r="D28" s="631">
        <f>ROUND('Preço Mensal por Área'!F99+'Preço Mensal por Área'!F103+'Preço Mensal por Área'!F107,2)</f>
        <v>32339.66</v>
      </c>
      <c r="E28" s="620">
        <f>D28</f>
        <v>32339.66</v>
      </c>
      <c r="F28" s="1252">
        <f t="shared" si="0"/>
        <v>1940379.6</v>
      </c>
      <c r="G28" s="1253"/>
      <c r="H28" s="621">
        <f>F28</f>
        <v>1940379.6</v>
      </c>
      <c r="I28" s="1297"/>
      <c r="J28" s="1298"/>
      <c r="L28" s="248">
        <f>5*'Servente SEM Adicional'!H142</f>
        <v>32320.95</v>
      </c>
      <c r="M28" s="632">
        <f>D28-L28</f>
        <v>18.71</v>
      </c>
    </row>
    <row r="29" spans="1:14" ht="33.5" customHeight="1" thickBot="1">
      <c r="A29" s="1279"/>
      <c r="B29" s="1266" t="s">
        <v>298</v>
      </c>
      <c r="C29" s="1267"/>
      <c r="D29" s="1268"/>
      <c r="E29" s="633">
        <f>SUM(E16:E28)</f>
        <v>197110.04</v>
      </c>
      <c r="F29" s="1301"/>
      <c r="G29" s="1302"/>
      <c r="H29" s="1302"/>
      <c r="I29" s="1299"/>
      <c r="J29" s="1300"/>
      <c r="L29" s="212">
        <f>SUM(L16:L28)</f>
        <v>197081.92</v>
      </c>
    </row>
    <row r="30" spans="1:14" ht="6.65" customHeight="1" thickBot="1">
      <c r="A30" s="1279"/>
      <c r="B30" s="600"/>
      <c r="C30" s="601"/>
      <c r="D30" s="601"/>
      <c r="E30" s="601"/>
      <c r="F30" s="601"/>
      <c r="G30" s="601"/>
      <c r="H30" s="601"/>
      <c r="I30" s="601"/>
      <c r="J30" s="601"/>
    </row>
    <row r="31" spans="1:14" ht="18" customHeight="1" thickBot="1">
      <c r="A31" s="1279"/>
      <c r="B31" s="1248" t="s">
        <v>335</v>
      </c>
      <c r="C31" s="1249"/>
      <c r="D31" s="1249"/>
      <c r="E31" s="1249"/>
      <c r="F31" s="1249"/>
      <c r="G31" s="1249"/>
      <c r="H31" s="1249"/>
      <c r="I31" s="1250"/>
      <c r="J31" s="1251"/>
      <c r="L31" s="634">
        <f>E29-L29</f>
        <v>28.12</v>
      </c>
      <c r="M31" s="180" t="s">
        <v>311</v>
      </c>
    </row>
    <row r="32" spans="1:14" ht="54" customHeight="1" thickBot="1">
      <c r="A32" s="1279"/>
      <c r="B32" s="635" t="s">
        <v>36</v>
      </c>
      <c r="C32" s="636" t="s">
        <v>167</v>
      </c>
      <c r="D32" s="636" t="s">
        <v>498</v>
      </c>
      <c r="E32" s="637" t="s">
        <v>499</v>
      </c>
      <c r="F32" s="636" t="s">
        <v>500</v>
      </c>
      <c r="G32" s="637" t="s">
        <v>501</v>
      </c>
      <c r="H32" s="636" t="s">
        <v>333</v>
      </c>
      <c r="I32" s="636" t="s">
        <v>327</v>
      </c>
      <c r="J32" s="638" t="s">
        <v>334</v>
      </c>
      <c r="L32" s="212"/>
      <c r="M32" s="639"/>
      <c r="N32" s="640"/>
    </row>
    <row r="33" spans="1:14" ht="18" customHeight="1" thickBot="1">
      <c r="A33" s="1279"/>
      <c r="B33" s="641">
        <v>8</v>
      </c>
      <c r="C33" s="642" t="s">
        <v>139</v>
      </c>
      <c r="D33" s="643">
        <f>'Serviços Eventuais'!H13</f>
        <v>149</v>
      </c>
      <c r="E33" s="644">
        <f>'Serviços Eventuais'!H15</f>
        <v>14.9</v>
      </c>
      <c r="F33" s="644">
        <f>'Serviços Eventuais'!H30</f>
        <v>182</v>
      </c>
      <c r="G33" s="645">
        <f>'Serviços Eventuais'!H26</f>
        <v>18.2</v>
      </c>
      <c r="H33" s="646">
        <f>'Serviços Eventuais'!H11</f>
        <v>10</v>
      </c>
      <c r="I33" s="647">
        <f>'Serviços Eventuais'!H34</f>
        <v>30</v>
      </c>
      <c r="J33" s="648">
        <f>'Serviços Eventuais'!H36</f>
        <v>5460</v>
      </c>
      <c r="L33" s="212">
        <f>L31*60</f>
        <v>1687.2</v>
      </c>
      <c r="M33" s="639"/>
      <c r="N33" s="640"/>
    </row>
    <row r="34" spans="1:14" ht="18" customHeight="1" thickBot="1">
      <c r="A34" s="1279"/>
      <c r="B34" s="635">
        <v>9</v>
      </c>
      <c r="C34" s="649" t="s">
        <v>138</v>
      </c>
      <c r="D34" s="650">
        <f>'Serviços Eventuais'!I13</f>
        <v>1385.7</v>
      </c>
      <c r="E34" s="651">
        <f>'Serviços Eventuais'!I15</f>
        <v>14.9</v>
      </c>
      <c r="F34" s="651">
        <f>'Serviços Eventuais'!I30</f>
        <v>1692.6</v>
      </c>
      <c r="G34" s="652">
        <f>'Serviços Eventuais'!I26</f>
        <v>18.2</v>
      </c>
      <c r="H34" s="653">
        <f>'Serviços Eventuais'!I11</f>
        <v>93</v>
      </c>
      <c r="I34" s="654">
        <f>'Serviços Eventuais'!I34</f>
        <v>30</v>
      </c>
      <c r="J34" s="655">
        <f>'Serviços Eventuais'!I36</f>
        <v>50778</v>
      </c>
    </row>
    <row r="35" spans="1:14" ht="18" customHeight="1" thickBot="1">
      <c r="A35" s="1279"/>
      <c r="B35" s="635">
        <v>10</v>
      </c>
      <c r="C35" s="656" t="s">
        <v>294</v>
      </c>
      <c r="D35" s="650">
        <f>'Serviços Eventuais'!J13</f>
        <v>2235</v>
      </c>
      <c r="E35" s="651">
        <f>'Serviços Eventuais'!J15</f>
        <v>14.9</v>
      </c>
      <c r="F35" s="651">
        <f>'Serviços Eventuais'!J30</f>
        <v>2730</v>
      </c>
      <c r="G35" s="652">
        <f>'Serviços Eventuais'!J26</f>
        <v>18.2</v>
      </c>
      <c r="H35" s="653">
        <f>'Serviços Eventuais'!J11</f>
        <v>150</v>
      </c>
      <c r="I35" s="654">
        <f>'Serviços Eventuais'!J34</f>
        <v>20</v>
      </c>
      <c r="J35" s="655">
        <f>'Serviços Eventuais'!J36</f>
        <v>54600</v>
      </c>
    </row>
    <row r="36" spans="1:14" ht="20" customHeight="1" thickBot="1">
      <c r="A36" s="1279"/>
      <c r="B36" s="1303" t="s">
        <v>336</v>
      </c>
      <c r="C36" s="1304"/>
      <c r="D36" s="1304"/>
      <c r="E36" s="1304"/>
      <c r="F36" s="1304"/>
      <c r="G36" s="1304"/>
      <c r="H36" s="1304"/>
      <c r="I36" s="1305"/>
      <c r="J36" s="657">
        <f>ROUND(SUM(J33:J35),2)</f>
        <v>110838</v>
      </c>
    </row>
    <row r="37" spans="1:14" ht="6" customHeight="1">
      <c r="A37" s="1279"/>
      <c r="B37" s="658"/>
      <c r="C37" s="659"/>
      <c r="D37" s="659"/>
      <c r="E37" s="659"/>
      <c r="F37" s="659"/>
      <c r="G37" s="659"/>
      <c r="H37" s="660"/>
      <c r="I37" s="660"/>
      <c r="J37" s="661"/>
    </row>
    <row r="38" spans="1:14" ht="26.5" customHeight="1">
      <c r="A38" s="1279"/>
      <c r="B38" s="1306" t="s">
        <v>328</v>
      </c>
      <c r="C38" s="1306"/>
      <c r="D38" s="1306"/>
      <c r="E38" s="1306"/>
      <c r="F38" s="1306"/>
      <c r="G38" s="1306"/>
      <c r="H38" s="1306"/>
      <c r="I38" s="1307"/>
      <c r="J38" s="667">
        <f>ROUND(SUM(I16,J36),2)</f>
        <v>11937440.4</v>
      </c>
      <c r="K38" s="662"/>
    </row>
    <row r="39" spans="1:14" ht="6.65" customHeight="1"/>
    <row r="40" spans="1:14">
      <c r="B40" s="600"/>
      <c r="J40" s="664"/>
    </row>
    <row r="41" spans="1:14">
      <c r="B41" s="600"/>
      <c r="H41" s="665"/>
      <c r="I41" s="665"/>
    </row>
    <row r="42" spans="1:14">
      <c r="B42" s="600"/>
      <c r="J42" s="723"/>
    </row>
    <row r="43" spans="1:14">
      <c r="B43" s="600"/>
    </row>
    <row r="44" spans="1:14">
      <c r="B44" s="600"/>
    </row>
    <row r="45" spans="1:14">
      <c r="B45" s="600"/>
    </row>
    <row r="46" spans="1:14">
      <c r="B46" s="600"/>
    </row>
    <row r="47" spans="1:14">
      <c r="B47" s="600"/>
    </row>
    <row r="48" spans="1:14">
      <c r="B48" s="600"/>
    </row>
    <row r="49" spans="2:2">
      <c r="B49" s="600"/>
    </row>
    <row r="50" spans="2:2">
      <c r="B50" s="600"/>
    </row>
    <row r="51" spans="2:2">
      <c r="B51" s="600"/>
    </row>
    <row r="52" spans="2:2">
      <c r="B52" s="600"/>
    </row>
    <row r="53" spans="2:2">
      <c r="B53" s="600"/>
    </row>
    <row r="54" spans="2:2">
      <c r="B54" s="600"/>
    </row>
    <row r="55" spans="2:2">
      <c r="B55" s="600"/>
    </row>
    <row r="56" spans="2:2">
      <c r="B56" s="600"/>
    </row>
    <row r="57" spans="2:2">
      <c r="B57" s="600"/>
    </row>
    <row r="58" spans="2:2">
      <c r="B58" s="600"/>
    </row>
    <row r="59" spans="2:2">
      <c r="B59" s="600"/>
    </row>
    <row r="60" spans="2:2">
      <c r="B60" s="600"/>
    </row>
    <row r="61" spans="2:2">
      <c r="B61" s="600"/>
    </row>
    <row r="62" spans="2:2">
      <c r="B62" s="600"/>
    </row>
    <row r="63" spans="2:2">
      <c r="B63" s="600"/>
    </row>
    <row r="64" spans="2:2">
      <c r="B64" s="600"/>
    </row>
    <row r="65" spans="2:2">
      <c r="B65" s="600"/>
    </row>
    <row r="66" spans="2:2">
      <c r="B66" s="600"/>
    </row>
    <row r="67" spans="2:2">
      <c r="B67" s="600"/>
    </row>
    <row r="68" spans="2:2">
      <c r="B68" s="600"/>
    </row>
    <row r="69" spans="2:2">
      <c r="B69" s="600"/>
    </row>
    <row r="70" spans="2:2">
      <c r="B70" s="600"/>
    </row>
    <row r="71" spans="2:2">
      <c r="B71" s="600"/>
    </row>
    <row r="72" spans="2:2">
      <c r="B72" s="600"/>
    </row>
    <row r="73" spans="2:2">
      <c r="B73" s="600"/>
    </row>
    <row r="74" spans="2:2">
      <c r="B74" s="600"/>
    </row>
    <row r="75" spans="2:2">
      <c r="B75" s="600"/>
    </row>
    <row r="76" spans="2:2">
      <c r="B76" s="600"/>
    </row>
    <row r="77" spans="2:2">
      <c r="B77" s="600"/>
    </row>
    <row r="78" spans="2:2">
      <c r="B78" s="600"/>
    </row>
    <row r="79" spans="2:2">
      <c r="B79" s="600"/>
    </row>
    <row r="80" spans="2:2">
      <c r="B80" s="600"/>
    </row>
    <row r="81" spans="2:2">
      <c r="B81" s="600"/>
    </row>
    <row r="82" spans="2:2">
      <c r="B82" s="600"/>
    </row>
    <row r="83" spans="2:2">
      <c r="B83" s="600"/>
    </row>
    <row r="84" spans="2:2">
      <c r="B84" s="600"/>
    </row>
    <row r="85" spans="2:2">
      <c r="B85" s="600"/>
    </row>
    <row r="86" spans="2:2">
      <c r="B86" s="600"/>
    </row>
    <row r="87" spans="2:2">
      <c r="B87" s="600"/>
    </row>
    <row r="88" spans="2:2">
      <c r="B88" s="600"/>
    </row>
    <row r="89" spans="2:2">
      <c r="B89" s="600"/>
    </row>
    <row r="90" spans="2:2">
      <c r="B90" s="600"/>
    </row>
    <row r="91" spans="2:2">
      <c r="B91" s="600"/>
    </row>
    <row r="92" spans="2:2">
      <c r="B92" s="600"/>
    </row>
    <row r="93" spans="2:2">
      <c r="B93" s="600"/>
    </row>
    <row r="94" spans="2:2">
      <c r="B94" s="600"/>
    </row>
    <row r="95" spans="2:2">
      <c r="B95" s="600"/>
    </row>
    <row r="96" spans="2:2">
      <c r="B96" s="600"/>
    </row>
    <row r="97" spans="2:2">
      <c r="B97" s="600"/>
    </row>
    <row r="98" spans="2:2">
      <c r="B98" s="600"/>
    </row>
    <row r="99" spans="2:2">
      <c r="B99" s="600"/>
    </row>
    <row r="100" spans="2:2">
      <c r="B100" s="600"/>
    </row>
    <row r="101" spans="2:2">
      <c r="B101" s="600"/>
    </row>
    <row r="102" spans="2:2">
      <c r="B102" s="600"/>
    </row>
    <row r="103" spans="2:2">
      <c r="B103" s="600"/>
    </row>
    <row r="104" spans="2:2">
      <c r="B104" s="600"/>
    </row>
    <row r="105" spans="2:2">
      <c r="B105" s="600"/>
    </row>
    <row r="106" spans="2:2">
      <c r="B106" s="600"/>
    </row>
    <row r="107" spans="2:2">
      <c r="B107" s="600"/>
    </row>
    <row r="108" spans="2:2">
      <c r="B108" s="600"/>
    </row>
    <row r="109" spans="2:2">
      <c r="B109" s="600"/>
    </row>
    <row r="110" spans="2:2">
      <c r="B110" s="600"/>
    </row>
    <row r="111" spans="2:2">
      <c r="B111" s="600"/>
    </row>
    <row r="112" spans="2:2">
      <c r="B112" s="600"/>
    </row>
    <row r="113" spans="2:2">
      <c r="B113" s="600"/>
    </row>
    <row r="114" spans="2:2">
      <c r="B114" s="600"/>
    </row>
    <row r="115" spans="2:2">
      <c r="B115" s="600"/>
    </row>
    <row r="116" spans="2:2">
      <c r="B116" s="600"/>
    </row>
    <row r="117" spans="2:2">
      <c r="B117" s="600"/>
    </row>
    <row r="118" spans="2:2">
      <c r="B118" s="600"/>
    </row>
    <row r="119" spans="2:2">
      <c r="B119" s="600"/>
    </row>
    <row r="120" spans="2:2">
      <c r="B120" s="600"/>
    </row>
    <row r="121" spans="2:2">
      <c r="B121" s="600"/>
    </row>
    <row r="122" spans="2:2">
      <c r="B122" s="600"/>
    </row>
    <row r="123" spans="2:2">
      <c r="B123" s="600"/>
    </row>
    <row r="124" spans="2:2">
      <c r="B124" s="600"/>
    </row>
    <row r="125" spans="2:2">
      <c r="B125" s="600"/>
    </row>
    <row r="126" spans="2:2">
      <c r="B126" s="600"/>
    </row>
    <row r="127" spans="2:2">
      <c r="B127" s="600"/>
    </row>
    <row r="128" spans="2:2">
      <c r="B128" s="600"/>
    </row>
    <row r="129" spans="2:2">
      <c r="B129" s="600"/>
    </row>
    <row r="130" spans="2:2">
      <c r="B130" s="600"/>
    </row>
    <row r="131" spans="2:2">
      <c r="B131" s="600"/>
    </row>
    <row r="132" spans="2:2">
      <c r="B132" s="600"/>
    </row>
    <row r="133" spans="2:2">
      <c r="B133" s="600"/>
    </row>
    <row r="134" spans="2:2">
      <c r="B134" s="600"/>
    </row>
    <row r="135" spans="2:2">
      <c r="B135" s="600"/>
    </row>
    <row r="136" spans="2:2">
      <c r="B136" s="600"/>
    </row>
    <row r="137" spans="2:2">
      <c r="B137" s="600"/>
    </row>
    <row r="138" spans="2:2">
      <c r="B138" s="600"/>
    </row>
    <row r="139" spans="2:2">
      <c r="B139" s="600"/>
    </row>
    <row r="140" spans="2:2">
      <c r="B140" s="600"/>
    </row>
    <row r="141" spans="2:2">
      <c r="B141" s="600"/>
    </row>
    <row r="142" spans="2:2">
      <c r="B142" s="600"/>
    </row>
    <row r="143" spans="2:2">
      <c r="B143" s="600"/>
    </row>
    <row r="144" spans="2:2">
      <c r="B144" s="600"/>
    </row>
    <row r="145" spans="2:2">
      <c r="B145" s="600"/>
    </row>
    <row r="146" spans="2:2">
      <c r="B146" s="600"/>
    </row>
    <row r="147" spans="2:2">
      <c r="B147" s="600"/>
    </row>
    <row r="148" spans="2:2">
      <c r="B148" s="600"/>
    </row>
    <row r="149" spans="2:2">
      <c r="B149" s="600"/>
    </row>
    <row r="150" spans="2:2">
      <c r="B150" s="600"/>
    </row>
    <row r="151" spans="2:2">
      <c r="B151" s="600"/>
    </row>
    <row r="152" spans="2:2">
      <c r="B152" s="600"/>
    </row>
    <row r="153" spans="2:2">
      <c r="B153" s="600"/>
    </row>
    <row r="154" spans="2:2">
      <c r="B154" s="600"/>
    </row>
    <row r="155" spans="2:2">
      <c r="B155" s="600"/>
    </row>
    <row r="156" spans="2:2">
      <c r="B156" s="600"/>
    </row>
    <row r="157" spans="2:2">
      <c r="B157" s="600"/>
    </row>
    <row r="158" spans="2:2">
      <c r="B158" s="600"/>
    </row>
    <row r="159" spans="2:2">
      <c r="B159" s="600"/>
    </row>
    <row r="160" spans="2:2">
      <c r="B160" s="600"/>
    </row>
    <row r="161" spans="2:2">
      <c r="B161" s="600"/>
    </row>
    <row r="162" spans="2:2">
      <c r="B162" s="600"/>
    </row>
    <row r="163" spans="2:2">
      <c r="B163" s="600"/>
    </row>
    <row r="164" spans="2:2">
      <c r="B164" s="600"/>
    </row>
    <row r="165" spans="2:2">
      <c r="B165" s="600"/>
    </row>
    <row r="166" spans="2:2">
      <c r="B166" s="600"/>
    </row>
    <row r="167" spans="2:2">
      <c r="B167" s="600"/>
    </row>
    <row r="168" spans="2:2">
      <c r="B168" s="600"/>
    </row>
    <row r="169" spans="2:2">
      <c r="B169" s="600"/>
    </row>
    <row r="170" spans="2:2">
      <c r="B170" s="600"/>
    </row>
    <row r="171" spans="2:2">
      <c r="B171" s="600"/>
    </row>
    <row r="172" spans="2:2">
      <c r="B172" s="600"/>
    </row>
    <row r="173" spans="2:2">
      <c r="B173" s="600"/>
    </row>
    <row r="174" spans="2:2">
      <c r="B174" s="600"/>
    </row>
    <row r="175" spans="2:2">
      <c r="B175" s="600"/>
    </row>
    <row r="176" spans="2:2">
      <c r="B176" s="600"/>
    </row>
    <row r="177" spans="2:2">
      <c r="B177" s="600"/>
    </row>
    <row r="178" spans="2:2">
      <c r="B178" s="600"/>
    </row>
    <row r="179" spans="2:2">
      <c r="B179" s="600"/>
    </row>
    <row r="180" spans="2:2">
      <c r="B180" s="600"/>
    </row>
    <row r="181" spans="2:2">
      <c r="B181" s="600"/>
    </row>
    <row r="182" spans="2:2">
      <c r="B182" s="600"/>
    </row>
    <row r="183" spans="2:2">
      <c r="B183" s="600"/>
    </row>
    <row r="184" spans="2:2">
      <c r="B184" s="600"/>
    </row>
    <row r="185" spans="2:2">
      <c r="B185" s="600"/>
    </row>
    <row r="186" spans="2:2">
      <c r="B186" s="600"/>
    </row>
    <row r="187" spans="2:2">
      <c r="B187" s="600"/>
    </row>
    <row r="188" spans="2:2">
      <c r="B188" s="600"/>
    </row>
    <row r="189" spans="2:2">
      <c r="B189" s="600"/>
    </row>
    <row r="190" spans="2:2">
      <c r="B190" s="600"/>
    </row>
    <row r="191" spans="2:2">
      <c r="B191" s="600"/>
    </row>
    <row r="192" spans="2:2">
      <c r="B192" s="600"/>
    </row>
    <row r="193" spans="2:2">
      <c r="B193" s="600"/>
    </row>
    <row r="194" spans="2:2">
      <c r="B194" s="600"/>
    </row>
    <row r="195" spans="2:2">
      <c r="B195" s="600"/>
    </row>
    <row r="196" spans="2:2">
      <c r="B196" s="600"/>
    </row>
    <row r="197" spans="2:2">
      <c r="B197" s="600"/>
    </row>
    <row r="198" spans="2:2">
      <c r="B198" s="600"/>
    </row>
    <row r="199" spans="2:2">
      <c r="B199" s="600"/>
    </row>
    <row r="200" spans="2:2">
      <c r="B200" s="600"/>
    </row>
    <row r="201" spans="2:2">
      <c r="B201" s="600"/>
    </row>
    <row r="202" spans="2:2">
      <c r="B202" s="600"/>
    </row>
    <row r="203" spans="2:2">
      <c r="B203" s="600"/>
    </row>
    <row r="204" spans="2:2">
      <c r="B204" s="600"/>
    </row>
    <row r="205" spans="2:2">
      <c r="B205" s="600"/>
    </row>
    <row r="206" spans="2:2">
      <c r="B206" s="600"/>
    </row>
    <row r="207" spans="2:2">
      <c r="B207" s="600"/>
    </row>
    <row r="208" spans="2:2">
      <c r="B208" s="600"/>
    </row>
    <row r="209" spans="2:2">
      <c r="B209" s="600"/>
    </row>
    <row r="210" spans="2:2">
      <c r="B210" s="600"/>
    </row>
    <row r="211" spans="2:2">
      <c r="B211" s="600"/>
    </row>
    <row r="212" spans="2:2">
      <c r="B212" s="600"/>
    </row>
    <row r="213" spans="2:2">
      <c r="B213" s="600"/>
    </row>
    <row r="214" spans="2:2">
      <c r="B214" s="600"/>
    </row>
    <row r="215" spans="2:2">
      <c r="B215" s="600"/>
    </row>
    <row r="216" spans="2:2">
      <c r="B216" s="600"/>
    </row>
    <row r="217" spans="2:2">
      <c r="B217" s="600"/>
    </row>
    <row r="218" spans="2:2">
      <c r="B218" s="600"/>
    </row>
    <row r="219" spans="2:2">
      <c r="B219" s="600"/>
    </row>
    <row r="220" spans="2:2">
      <c r="B220" s="600"/>
    </row>
    <row r="221" spans="2:2">
      <c r="B221" s="600"/>
    </row>
    <row r="222" spans="2:2">
      <c r="B222" s="600"/>
    </row>
    <row r="223" spans="2:2">
      <c r="B223" s="600"/>
    </row>
    <row r="224" spans="2:2">
      <c r="B224" s="600"/>
    </row>
    <row r="225" spans="2:2">
      <c r="B225" s="600"/>
    </row>
    <row r="226" spans="2:2">
      <c r="B226" s="600"/>
    </row>
    <row r="227" spans="2:2">
      <c r="B227" s="600"/>
    </row>
    <row r="228" spans="2:2">
      <c r="B228" s="600"/>
    </row>
    <row r="229" spans="2:2">
      <c r="B229" s="600"/>
    </row>
    <row r="230" spans="2:2">
      <c r="B230" s="600"/>
    </row>
    <row r="231" spans="2:2">
      <c r="B231" s="600"/>
    </row>
    <row r="232" spans="2:2">
      <c r="B232" s="600"/>
    </row>
    <row r="233" spans="2:2">
      <c r="B233" s="600"/>
    </row>
    <row r="234" spans="2:2">
      <c r="B234" s="600"/>
    </row>
    <row r="235" spans="2:2">
      <c r="B235" s="600"/>
    </row>
    <row r="236" spans="2:2">
      <c r="B236" s="600"/>
    </row>
    <row r="237" spans="2:2">
      <c r="B237" s="600"/>
    </row>
    <row r="238" spans="2:2">
      <c r="B238" s="600"/>
    </row>
    <row r="239" spans="2:2">
      <c r="B239" s="600"/>
    </row>
    <row r="240" spans="2:2">
      <c r="B240" s="600"/>
    </row>
    <row r="241" spans="2:2">
      <c r="B241" s="600"/>
    </row>
    <row r="242" spans="2:2">
      <c r="B242" s="600"/>
    </row>
    <row r="243" spans="2:2">
      <c r="B243" s="600"/>
    </row>
    <row r="244" spans="2:2">
      <c r="B244" s="600"/>
    </row>
    <row r="245" spans="2:2">
      <c r="B245" s="600"/>
    </row>
    <row r="246" spans="2:2">
      <c r="B246" s="600"/>
    </row>
    <row r="247" spans="2:2">
      <c r="B247" s="600"/>
    </row>
    <row r="248" spans="2:2">
      <c r="B248" s="600"/>
    </row>
    <row r="249" spans="2:2">
      <c r="B249" s="600"/>
    </row>
    <row r="250" spans="2:2">
      <c r="B250" s="600"/>
    </row>
    <row r="251" spans="2:2">
      <c r="B251" s="600"/>
    </row>
    <row r="252" spans="2:2">
      <c r="B252" s="600"/>
    </row>
    <row r="253" spans="2:2">
      <c r="B253" s="600"/>
    </row>
    <row r="254" spans="2:2">
      <c r="B254" s="600"/>
    </row>
    <row r="255" spans="2:2">
      <c r="B255" s="600"/>
    </row>
    <row r="256" spans="2:2">
      <c r="B256" s="600"/>
    </row>
    <row r="257" spans="2:2">
      <c r="B257" s="600"/>
    </row>
    <row r="258" spans="2:2">
      <c r="B258" s="600"/>
    </row>
    <row r="259" spans="2:2">
      <c r="B259" s="600"/>
    </row>
    <row r="260" spans="2:2">
      <c r="B260" s="600"/>
    </row>
    <row r="261" spans="2:2">
      <c r="B261" s="600"/>
    </row>
    <row r="262" spans="2:2">
      <c r="B262" s="600"/>
    </row>
    <row r="263" spans="2:2">
      <c r="B263" s="600"/>
    </row>
    <row r="264" spans="2:2">
      <c r="B264" s="600"/>
    </row>
    <row r="265" spans="2:2">
      <c r="B265" s="600"/>
    </row>
    <row r="266" spans="2:2">
      <c r="B266" s="600"/>
    </row>
    <row r="267" spans="2:2">
      <c r="B267" s="600"/>
    </row>
    <row r="268" spans="2:2">
      <c r="B268" s="600"/>
    </row>
    <row r="269" spans="2:2">
      <c r="B269" s="600"/>
    </row>
    <row r="270" spans="2:2">
      <c r="B270" s="600"/>
    </row>
    <row r="271" spans="2:2">
      <c r="B271" s="600"/>
    </row>
    <row r="272" spans="2:2">
      <c r="B272" s="600"/>
    </row>
    <row r="273" spans="2:2">
      <c r="B273" s="600"/>
    </row>
    <row r="274" spans="2:2">
      <c r="B274" s="600"/>
    </row>
    <row r="275" spans="2:2">
      <c r="B275" s="600"/>
    </row>
    <row r="276" spans="2:2">
      <c r="B276" s="600"/>
    </row>
    <row r="277" spans="2:2">
      <c r="B277" s="600"/>
    </row>
    <row r="278" spans="2:2">
      <c r="B278" s="600"/>
    </row>
    <row r="279" spans="2:2">
      <c r="B279" s="600"/>
    </row>
    <row r="280" spans="2:2">
      <c r="B280" s="600"/>
    </row>
    <row r="281" spans="2:2">
      <c r="B281" s="600"/>
    </row>
    <row r="282" spans="2:2">
      <c r="B282" s="600"/>
    </row>
    <row r="283" spans="2:2">
      <c r="B283" s="600"/>
    </row>
    <row r="284" spans="2:2">
      <c r="B284" s="600"/>
    </row>
    <row r="285" spans="2:2">
      <c r="B285" s="600"/>
    </row>
    <row r="286" spans="2:2">
      <c r="B286" s="600"/>
    </row>
    <row r="287" spans="2:2">
      <c r="B287" s="600"/>
    </row>
    <row r="288" spans="2:2">
      <c r="B288" s="600"/>
    </row>
    <row r="289" spans="2:2">
      <c r="B289" s="600"/>
    </row>
    <row r="290" spans="2:2">
      <c r="B290" s="600"/>
    </row>
    <row r="291" spans="2:2">
      <c r="B291" s="600"/>
    </row>
    <row r="292" spans="2:2">
      <c r="B292" s="600"/>
    </row>
    <row r="293" spans="2:2">
      <c r="B293" s="600"/>
    </row>
    <row r="294" spans="2:2">
      <c r="B294" s="600"/>
    </row>
    <row r="295" spans="2:2">
      <c r="B295" s="600"/>
    </row>
    <row r="296" spans="2:2">
      <c r="B296" s="600"/>
    </row>
    <row r="297" spans="2:2">
      <c r="B297" s="600"/>
    </row>
    <row r="298" spans="2:2">
      <c r="B298" s="600"/>
    </row>
    <row r="299" spans="2:2">
      <c r="B299" s="600"/>
    </row>
    <row r="300" spans="2:2">
      <c r="B300" s="600"/>
    </row>
    <row r="301" spans="2:2">
      <c r="B301" s="600"/>
    </row>
    <row r="302" spans="2:2">
      <c r="B302" s="600"/>
    </row>
    <row r="303" spans="2:2">
      <c r="B303" s="600"/>
    </row>
    <row r="304" spans="2:2">
      <c r="B304" s="600"/>
    </row>
    <row r="305" spans="2:2">
      <c r="B305" s="600"/>
    </row>
    <row r="306" spans="2:2">
      <c r="B306" s="600"/>
    </row>
    <row r="307" spans="2:2">
      <c r="B307" s="600"/>
    </row>
    <row r="308" spans="2:2">
      <c r="B308" s="600"/>
    </row>
    <row r="309" spans="2:2">
      <c r="B309" s="600"/>
    </row>
    <row r="310" spans="2:2">
      <c r="B310" s="600"/>
    </row>
    <row r="311" spans="2:2">
      <c r="B311" s="600"/>
    </row>
    <row r="312" spans="2:2">
      <c r="B312" s="600"/>
    </row>
    <row r="313" spans="2:2">
      <c r="B313" s="600"/>
    </row>
    <row r="314" spans="2:2">
      <c r="B314" s="600"/>
    </row>
    <row r="315" spans="2:2">
      <c r="B315" s="600"/>
    </row>
    <row r="316" spans="2:2">
      <c r="B316" s="600"/>
    </row>
    <row r="317" spans="2:2">
      <c r="B317" s="600"/>
    </row>
    <row r="318" spans="2:2">
      <c r="B318" s="600"/>
    </row>
    <row r="319" spans="2:2">
      <c r="B319" s="600"/>
    </row>
    <row r="320" spans="2:2">
      <c r="B320" s="600"/>
    </row>
    <row r="321" spans="2:2">
      <c r="B321" s="600"/>
    </row>
    <row r="322" spans="2:2">
      <c r="B322" s="600"/>
    </row>
    <row r="323" spans="2:2">
      <c r="B323" s="600"/>
    </row>
    <row r="324" spans="2:2">
      <c r="B324" s="600"/>
    </row>
    <row r="325" spans="2:2">
      <c r="B325" s="600"/>
    </row>
    <row r="326" spans="2:2">
      <c r="B326" s="600"/>
    </row>
    <row r="327" spans="2:2">
      <c r="B327" s="600"/>
    </row>
    <row r="328" spans="2:2">
      <c r="B328" s="600"/>
    </row>
    <row r="329" spans="2:2">
      <c r="B329" s="600"/>
    </row>
    <row r="330" spans="2:2">
      <c r="B330" s="600"/>
    </row>
    <row r="331" spans="2:2">
      <c r="B331" s="600"/>
    </row>
    <row r="332" spans="2:2">
      <c r="B332" s="600"/>
    </row>
    <row r="333" spans="2:2">
      <c r="B333" s="600"/>
    </row>
    <row r="334" spans="2:2">
      <c r="B334" s="600"/>
    </row>
    <row r="335" spans="2:2">
      <c r="B335" s="600"/>
    </row>
    <row r="336" spans="2:2">
      <c r="B336" s="600"/>
    </row>
    <row r="337" spans="2:2">
      <c r="B337" s="600"/>
    </row>
    <row r="338" spans="2:2">
      <c r="B338" s="600"/>
    </row>
    <row r="339" spans="2:2">
      <c r="B339" s="600"/>
    </row>
    <row r="340" spans="2:2">
      <c r="B340" s="600"/>
    </row>
    <row r="341" spans="2:2">
      <c r="B341" s="600"/>
    </row>
    <row r="342" spans="2:2">
      <c r="B342" s="600"/>
    </row>
    <row r="343" spans="2:2">
      <c r="B343" s="600"/>
    </row>
    <row r="344" spans="2:2">
      <c r="B344" s="600"/>
    </row>
    <row r="345" spans="2:2">
      <c r="B345" s="600"/>
    </row>
    <row r="346" spans="2:2">
      <c r="B346" s="600"/>
    </row>
    <row r="347" spans="2:2">
      <c r="B347" s="600"/>
    </row>
    <row r="348" spans="2:2">
      <c r="B348" s="600"/>
    </row>
    <row r="349" spans="2:2">
      <c r="B349" s="600"/>
    </row>
    <row r="350" spans="2:2">
      <c r="B350" s="600"/>
    </row>
    <row r="351" spans="2:2">
      <c r="B351" s="600"/>
    </row>
    <row r="352" spans="2:2">
      <c r="B352" s="600"/>
    </row>
    <row r="353" spans="2:2">
      <c r="B353" s="600"/>
    </row>
    <row r="354" spans="2:2">
      <c r="B354" s="600"/>
    </row>
    <row r="355" spans="2:2">
      <c r="B355" s="600"/>
    </row>
    <row r="356" spans="2:2">
      <c r="B356" s="600"/>
    </row>
    <row r="357" spans="2:2">
      <c r="B357" s="600"/>
    </row>
    <row r="358" spans="2:2">
      <c r="B358" s="600"/>
    </row>
    <row r="359" spans="2:2">
      <c r="B359" s="600"/>
    </row>
    <row r="360" spans="2:2">
      <c r="B360" s="600"/>
    </row>
    <row r="361" spans="2:2">
      <c r="B361" s="600"/>
    </row>
    <row r="362" spans="2:2">
      <c r="B362" s="600"/>
    </row>
    <row r="363" spans="2:2">
      <c r="B363" s="600"/>
    </row>
    <row r="364" spans="2:2">
      <c r="B364" s="600"/>
    </row>
    <row r="365" spans="2:2">
      <c r="B365" s="600"/>
    </row>
    <row r="366" spans="2:2">
      <c r="B366" s="600"/>
    </row>
    <row r="367" spans="2:2">
      <c r="B367" s="600"/>
    </row>
    <row r="368" spans="2:2">
      <c r="B368" s="600"/>
    </row>
    <row r="369" spans="2:2">
      <c r="B369" s="600"/>
    </row>
    <row r="370" spans="2:2">
      <c r="B370" s="600"/>
    </row>
    <row r="371" spans="2:2">
      <c r="B371" s="600"/>
    </row>
    <row r="372" spans="2:2">
      <c r="B372" s="600"/>
    </row>
    <row r="373" spans="2:2">
      <c r="B373" s="600"/>
    </row>
    <row r="374" spans="2:2">
      <c r="B374" s="600"/>
    </row>
    <row r="375" spans="2:2">
      <c r="B375" s="600"/>
    </row>
    <row r="376" spans="2:2">
      <c r="B376" s="600"/>
    </row>
    <row r="377" spans="2:2">
      <c r="B377" s="600"/>
    </row>
    <row r="378" spans="2:2">
      <c r="B378" s="600"/>
    </row>
    <row r="379" spans="2:2">
      <c r="B379" s="600"/>
    </row>
    <row r="380" spans="2:2">
      <c r="B380" s="600"/>
    </row>
    <row r="381" spans="2:2">
      <c r="B381" s="600"/>
    </row>
    <row r="382" spans="2:2">
      <c r="B382" s="600"/>
    </row>
    <row r="383" spans="2:2">
      <c r="B383" s="600"/>
    </row>
    <row r="384" spans="2:2">
      <c r="B384" s="600"/>
    </row>
    <row r="385" spans="2:2">
      <c r="B385" s="600"/>
    </row>
    <row r="386" spans="2:2">
      <c r="B386" s="600"/>
    </row>
    <row r="387" spans="2:2">
      <c r="B387" s="600"/>
    </row>
    <row r="388" spans="2:2">
      <c r="B388" s="600"/>
    </row>
    <row r="389" spans="2:2">
      <c r="B389" s="600"/>
    </row>
    <row r="390" spans="2:2">
      <c r="B390" s="600"/>
    </row>
    <row r="391" spans="2:2">
      <c r="B391" s="600"/>
    </row>
    <row r="392" spans="2:2">
      <c r="B392" s="600"/>
    </row>
    <row r="393" spans="2:2">
      <c r="B393" s="600"/>
    </row>
    <row r="394" spans="2:2">
      <c r="B394" s="600"/>
    </row>
    <row r="395" spans="2:2">
      <c r="B395" s="600"/>
    </row>
    <row r="396" spans="2:2">
      <c r="B396" s="600"/>
    </row>
    <row r="397" spans="2:2">
      <c r="B397" s="600"/>
    </row>
    <row r="398" spans="2:2">
      <c r="B398" s="600"/>
    </row>
    <row r="399" spans="2:2">
      <c r="B399" s="600"/>
    </row>
    <row r="400" spans="2:2">
      <c r="B400" s="600"/>
    </row>
    <row r="401" spans="2:2">
      <c r="B401" s="600"/>
    </row>
    <row r="402" spans="2:2">
      <c r="B402" s="600"/>
    </row>
    <row r="403" spans="2:2">
      <c r="B403" s="600"/>
    </row>
    <row r="404" spans="2:2">
      <c r="B404" s="600"/>
    </row>
    <row r="405" spans="2:2">
      <c r="B405" s="600"/>
    </row>
    <row r="406" spans="2:2">
      <c r="B406" s="600"/>
    </row>
    <row r="407" spans="2:2">
      <c r="B407" s="600"/>
    </row>
    <row r="408" spans="2:2">
      <c r="B408" s="600"/>
    </row>
    <row r="409" spans="2:2">
      <c r="B409" s="600"/>
    </row>
    <row r="410" spans="2:2">
      <c r="B410" s="600"/>
    </row>
    <row r="411" spans="2:2">
      <c r="B411" s="600"/>
    </row>
    <row r="412" spans="2:2">
      <c r="B412" s="600"/>
    </row>
    <row r="413" spans="2:2">
      <c r="B413" s="600"/>
    </row>
    <row r="414" spans="2:2">
      <c r="B414" s="600"/>
    </row>
    <row r="415" spans="2:2">
      <c r="B415" s="600"/>
    </row>
    <row r="416" spans="2:2">
      <c r="B416" s="600"/>
    </row>
    <row r="417" spans="2:2">
      <c r="B417" s="600"/>
    </row>
    <row r="418" spans="2:2">
      <c r="B418" s="600"/>
    </row>
    <row r="419" spans="2:2">
      <c r="B419" s="600"/>
    </row>
    <row r="420" spans="2:2">
      <c r="B420" s="600"/>
    </row>
    <row r="421" spans="2:2">
      <c r="B421" s="600"/>
    </row>
    <row r="422" spans="2:2">
      <c r="B422" s="600"/>
    </row>
    <row r="423" spans="2:2">
      <c r="B423" s="600"/>
    </row>
    <row r="424" spans="2:2">
      <c r="B424" s="600"/>
    </row>
    <row r="425" spans="2:2">
      <c r="B425" s="600"/>
    </row>
    <row r="426" spans="2:2">
      <c r="B426" s="600"/>
    </row>
    <row r="427" spans="2:2">
      <c r="B427" s="600"/>
    </row>
    <row r="428" spans="2:2">
      <c r="B428" s="600"/>
    </row>
    <row r="429" spans="2:2">
      <c r="B429" s="600"/>
    </row>
    <row r="430" spans="2:2">
      <c r="B430" s="600"/>
    </row>
    <row r="431" spans="2:2">
      <c r="B431" s="600"/>
    </row>
    <row r="432" spans="2:2">
      <c r="B432" s="600"/>
    </row>
    <row r="433" spans="2:2">
      <c r="B433" s="600"/>
    </row>
    <row r="434" spans="2:2">
      <c r="B434" s="600"/>
    </row>
    <row r="435" spans="2:2">
      <c r="B435" s="600"/>
    </row>
    <row r="436" spans="2:2">
      <c r="B436" s="600"/>
    </row>
    <row r="437" spans="2:2">
      <c r="B437" s="600"/>
    </row>
    <row r="438" spans="2:2">
      <c r="B438" s="600"/>
    </row>
    <row r="439" spans="2:2">
      <c r="B439" s="600"/>
    </row>
    <row r="440" spans="2:2">
      <c r="B440" s="600"/>
    </row>
    <row r="441" spans="2:2">
      <c r="B441" s="600"/>
    </row>
    <row r="442" spans="2:2">
      <c r="B442" s="600"/>
    </row>
    <row r="443" spans="2:2">
      <c r="B443" s="600"/>
    </row>
    <row r="444" spans="2:2">
      <c r="B444" s="600"/>
    </row>
    <row r="445" spans="2:2">
      <c r="B445" s="600"/>
    </row>
    <row r="446" spans="2:2">
      <c r="B446" s="600"/>
    </row>
    <row r="447" spans="2:2">
      <c r="B447" s="600"/>
    </row>
    <row r="448" spans="2:2">
      <c r="B448" s="600"/>
    </row>
    <row r="449" spans="2:2">
      <c r="B449" s="600"/>
    </row>
    <row r="450" spans="2:2">
      <c r="B450" s="600"/>
    </row>
    <row r="451" spans="2:2">
      <c r="B451" s="600"/>
    </row>
    <row r="452" spans="2:2">
      <c r="B452" s="600"/>
    </row>
    <row r="453" spans="2:2">
      <c r="B453" s="600"/>
    </row>
    <row r="454" spans="2:2">
      <c r="B454" s="600"/>
    </row>
    <row r="455" spans="2:2">
      <c r="B455" s="600"/>
    </row>
    <row r="456" spans="2:2">
      <c r="B456" s="600"/>
    </row>
    <row r="457" spans="2:2">
      <c r="B457" s="600"/>
    </row>
    <row r="458" spans="2:2">
      <c r="B458" s="600"/>
    </row>
    <row r="459" spans="2:2">
      <c r="B459" s="600"/>
    </row>
    <row r="460" spans="2:2">
      <c r="B460" s="600"/>
    </row>
    <row r="461" spans="2:2">
      <c r="B461" s="600"/>
    </row>
    <row r="462" spans="2:2">
      <c r="B462" s="600"/>
    </row>
    <row r="463" spans="2:2">
      <c r="B463" s="600"/>
    </row>
    <row r="464" spans="2:2">
      <c r="B464" s="600"/>
    </row>
    <row r="465" spans="2:2">
      <c r="B465" s="600"/>
    </row>
    <row r="466" spans="2:2">
      <c r="B466" s="600"/>
    </row>
    <row r="467" spans="2:2">
      <c r="B467" s="600"/>
    </row>
    <row r="468" spans="2:2">
      <c r="B468" s="600"/>
    </row>
    <row r="469" spans="2:2">
      <c r="B469" s="600"/>
    </row>
    <row r="470" spans="2:2">
      <c r="B470" s="600"/>
    </row>
    <row r="471" spans="2:2">
      <c r="B471" s="600"/>
    </row>
    <row r="472" spans="2:2">
      <c r="B472" s="600"/>
    </row>
    <row r="473" spans="2:2">
      <c r="B473" s="600"/>
    </row>
    <row r="474" spans="2:2">
      <c r="B474" s="600"/>
    </row>
    <row r="475" spans="2:2">
      <c r="B475" s="600"/>
    </row>
    <row r="476" spans="2:2">
      <c r="B476" s="600"/>
    </row>
    <row r="477" spans="2:2">
      <c r="B477" s="600"/>
    </row>
    <row r="478" spans="2:2">
      <c r="B478" s="600"/>
    </row>
    <row r="479" spans="2:2">
      <c r="B479" s="600"/>
    </row>
    <row r="480" spans="2:2">
      <c r="B480" s="600"/>
    </row>
    <row r="481" spans="2:2">
      <c r="B481" s="600"/>
    </row>
    <row r="482" spans="2:2">
      <c r="B482" s="600"/>
    </row>
    <row r="483" spans="2:2">
      <c r="B483" s="600"/>
    </row>
    <row r="484" spans="2:2">
      <c r="B484" s="600"/>
    </row>
    <row r="485" spans="2:2">
      <c r="B485" s="600"/>
    </row>
    <row r="486" spans="2:2">
      <c r="B486" s="600"/>
    </row>
    <row r="487" spans="2:2">
      <c r="B487" s="600"/>
    </row>
    <row r="488" spans="2:2">
      <c r="B488" s="600"/>
    </row>
    <row r="489" spans="2:2">
      <c r="B489" s="600"/>
    </row>
    <row r="490" spans="2:2">
      <c r="B490" s="600"/>
    </row>
    <row r="491" spans="2:2">
      <c r="B491" s="600"/>
    </row>
    <row r="492" spans="2:2">
      <c r="B492" s="600"/>
    </row>
    <row r="493" spans="2:2">
      <c r="B493" s="600"/>
    </row>
    <row r="494" spans="2:2">
      <c r="B494" s="600"/>
    </row>
    <row r="495" spans="2:2">
      <c r="B495" s="600"/>
    </row>
    <row r="496" spans="2:2">
      <c r="B496" s="600"/>
    </row>
    <row r="497" spans="2:2">
      <c r="B497" s="600"/>
    </row>
    <row r="498" spans="2:2">
      <c r="B498" s="600"/>
    </row>
    <row r="499" spans="2:2">
      <c r="B499" s="600"/>
    </row>
    <row r="500" spans="2:2">
      <c r="B500" s="600"/>
    </row>
    <row r="501" spans="2:2">
      <c r="B501" s="600"/>
    </row>
    <row r="502" spans="2:2">
      <c r="B502" s="600"/>
    </row>
    <row r="503" spans="2:2">
      <c r="B503" s="600"/>
    </row>
    <row r="504" spans="2:2">
      <c r="B504" s="600"/>
    </row>
    <row r="505" spans="2:2">
      <c r="B505" s="600"/>
    </row>
    <row r="506" spans="2:2">
      <c r="B506" s="600"/>
    </row>
    <row r="507" spans="2:2">
      <c r="B507" s="600"/>
    </row>
    <row r="508" spans="2:2">
      <c r="B508" s="600"/>
    </row>
    <row r="509" spans="2:2">
      <c r="B509" s="600"/>
    </row>
    <row r="510" spans="2:2">
      <c r="B510" s="600"/>
    </row>
    <row r="511" spans="2:2">
      <c r="B511" s="600"/>
    </row>
    <row r="512" spans="2:2">
      <c r="B512" s="600"/>
    </row>
    <row r="513" spans="2:2">
      <c r="B513" s="600"/>
    </row>
    <row r="514" spans="2:2">
      <c r="B514" s="600"/>
    </row>
    <row r="515" spans="2:2">
      <c r="B515" s="600"/>
    </row>
    <row r="516" spans="2:2">
      <c r="B516" s="600"/>
    </row>
    <row r="517" spans="2:2">
      <c r="B517" s="600"/>
    </row>
    <row r="518" spans="2:2">
      <c r="B518" s="600"/>
    </row>
    <row r="519" spans="2:2">
      <c r="B519" s="600"/>
    </row>
    <row r="520" spans="2:2">
      <c r="B520" s="600"/>
    </row>
    <row r="521" spans="2:2">
      <c r="B521" s="600"/>
    </row>
    <row r="522" spans="2:2">
      <c r="B522" s="600"/>
    </row>
    <row r="523" spans="2:2">
      <c r="B523" s="600"/>
    </row>
    <row r="524" spans="2:2">
      <c r="B524" s="600"/>
    </row>
    <row r="525" spans="2:2">
      <c r="B525" s="600"/>
    </row>
    <row r="526" spans="2:2">
      <c r="B526" s="600"/>
    </row>
    <row r="527" spans="2:2">
      <c r="B527" s="600"/>
    </row>
    <row r="528" spans="2:2">
      <c r="B528" s="600"/>
    </row>
    <row r="529" spans="2:2">
      <c r="B529" s="600"/>
    </row>
    <row r="530" spans="2:2">
      <c r="B530" s="600"/>
    </row>
    <row r="531" spans="2:2">
      <c r="B531" s="600"/>
    </row>
    <row r="532" spans="2:2">
      <c r="B532" s="600"/>
    </row>
    <row r="533" spans="2:2">
      <c r="B533" s="600"/>
    </row>
    <row r="534" spans="2:2">
      <c r="B534" s="600"/>
    </row>
    <row r="535" spans="2:2">
      <c r="B535" s="600"/>
    </row>
    <row r="536" spans="2:2">
      <c r="B536" s="600"/>
    </row>
    <row r="537" spans="2:2">
      <c r="B537" s="600"/>
    </row>
    <row r="538" spans="2:2">
      <c r="B538" s="600"/>
    </row>
    <row r="539" spans="2:2">
      <c r="B539" s="600"/>
    </row>
    <row r="540" spans="2:2">
      <c r="B540" s="600"/>
    </row>
    <row r="541" spans="2:2">
      <c r="B541" s="600"/>
    </row>
    <row r="542" spans="2:2">
      <c r="B542" s="600"/>
    </row>
    <row r="543" spans="2:2">
      <c r="B543" s="600"/>
    </row>
    <row r="544" spans="2:2">
      <c r="B544" s="600"/>
    </row>
    <row r="545" spans="2:2">
      <c r="B545" s="600"/>
    </row>
    <row r="546" spans="2:2">
      <c r="B546" s="600"/>
    </row>
    <row r="547" spans="2:2">
      <c r="B547" s="600"/>
    </row>
    <row r="548" spans="2:2">
      <c r="B548" s="600"/>
    </row>
    <row r="549" spans="2:2">
      <c r="B549" s="600"/>
    </row>
    <row r="550" spans="2:2">
      <c r="B550" s="600"/>
    </row>
    <row r="551" spans="2:2">
      <c r="B551" s="600"/>
    </row>
    <row r="552" spans="2:2">
      <c r="B552" s="600"/>
    </row>
    <row r="553" spans="2:2">
      <c r="B553" s="600"/>
    </row>
    <row r="554" spans="2:2">
      <c r="B554" s="600"/>
    </row>
    <row r="555" spans="2:2">
      <c r="B555" s="600"/>
    </row>
    <row r="556" spans="2:2">
      <c r="B556" s="600"/>
    </row>
    <row r="557" spans="2:2">
      <c r="B557" s="600"/>
    </row>
    <row r="558" spans="2:2">
      <c r="B558" s="600"/>
    </row>
    <row r="559" spans="2:2">
      <c r="B559" s="600"/>
    </row>
    <row r="560" spans="2:2">
      <c r="B560" s="600"/>
    </row>
    <row r="561" spans="2:2">
      <c r="B561" s="600"/>
    </row>
    <row r="562" spans="2:2">
      <c r="B562" s="600"/>
    </row>
    <row r="563" spans="2:2">
      <c r="B563" s="600"/>
    </row>
    <row r="564" spans="2:2">
      <c r="B564" s="600"/>
    </row>
    <row r="565" spans="2:2">
      <c r="B565" s="600"/>
    </row>
    <row r="566" spans="2:2">
      <c r="B566" s="600"/>
    </row>
    <row r="567" spans="2:2">
      <c r="B567" s="600"/>
    </row>
    <row r="568" spans="2:2">
      <c r="B568" s="600"/>
    </row>
    <row r="569" spans="2:2">
      <c r="B569" s="600"/>
    </row>
    <row r="570" spans="2:2">
      <c r="B570" s="600"/>
    </row>
    <row r="571" spans="2:2">
      <c r="B571" s="600"/>
    </row>
    <row r="572" spans="2:2">
      <c r="B572" s="600"/>
    </row>
    <row r="573" spans="2:2">
      <c r="B573" s="600"/>
    </row>
    <row r="574" spans="2:2">
      <c r="B574" s="600"/>
    </row>
    <row r="575" spans="2:2">
      <c r="B575" s="600"/>
    </row>
    <row r="576" spans="2:2">
      <c r="B576" s="600"/>
    </row>
    <row r="577" spans="2:2">
      <c r="B577" s="600"/>
    </row>
    <row r="578" spans="2:2">
      <c r="B578" s="600"/>
    </row>
    <row r="579" spans="2:2">
      <c r="B579" s="600"/>
    </row>
    <row r="580" spans="2:2">
      <c r="B580" s="600"/>
    </row>
    <row r="581" spans="2:2">
      <c r="B581" s="600"/>
    </row>
    <row r="582" spans="2:2">
      <c r="B582" s="600"/>
    </row>
    <row r="583" spans="2:2">
      <c r="B583" s="600"/>
    </row>
    <row r="584" spans="2:2">
      <c r="B584" s="600"/>
    </row>
    <row r="585" spans="2:2">
      <c r="B585" s="600"/>
    </row>
    <row r="586" spans="2:2">
      <c r="B586" s="600"/>
    </row>
    <row r="587" spans="2:2">
      <c r="B587" s="600"/>
    </row>
    <row r="588" spans="2:2">
      <c r="B588" s="600"/>
    </row>
    <row r="589" spans="2:2">
      <c r="B589" s="600"/>
    </row>
    <row r="590" spans="2:2">
      <c r="B590" s="600"/>
    </row>
    <row r="591" spans="2:2">
      <c r="B591" s="600"/>
    </row>
    <row r="592" spans="2:2">
      <c r="B592" s="600"/>
    </row>
    <row r="593" spans="2:2">
      <c r="B593" s="600"/>
    </row>
    <row r="594" spans="2:2">
      <c r="B594" s="600"/>
    </row>
    <row r="595" spans="2:2">
      <c r="B595" s="600"/>
    </row>
    <row r="596" spans="2:2">
      <c r="B596" s="600"/>
    </row>
    <row r="597" spans="2:2">
      <c r="B597" s="600"/>
    </row>
    <row r="598" spans="2:2">
      <c r="B598" s="600"/>
    </row>
    <row r="599" spans="2:2">
      <c r="B599" s="600"/>
    </row>
    <row r="600" spans="2:2">
      <c r="B600" s="600"/>
    </row>
    <row r="601" spans="2:2">
      <c r="B601" s="600"/>
    </row>
    <row r="602" spans="2:2">
      <c r="B602" s="600"/>
    </row>
    <row r="603" spans="2:2">
      <c r="B603" s="600"/>
    </row>
    <row r="604" spans="2:2">
      <c r="B604" s="600"/>
    </row>
    <row r="605" spans="2:2">
      <c r="B605" s="600"/>
    </row>
    <row r="606" spans="2:2">
      <c r="B606" s="600"/>
    </row>
    <row r="607" spans="2:2">
      <c r="B607" s="600"/>
    </row>
    <row r="608" spans="2:2">
      <c r="B608" s="600"/>
    </row>
    <row r="609" spans="2:2">
      <c r="B609" s="600"/>
    </row>
    <row r="610" spans="2:2">
      <c r="B610" s="600"/>
    </row>
    <row r="611" spans="2:2">
      <c r="B611" s="600"/>
    </row>
    <row r="612" spans="2:2">
      <c r="B612" s="600"/>
    </row>
    <row r="613" spans="2:2">
      <c r="B613" s="600"/>
    </row>
    <row r="614" spans="2:2">
      <c r="B614" s="600"/>
    </row>
    <row r="615" spans="2:2">
      <c r="B615" s="600"/>
    </row>
    <row r="616" spans="2:2">
      <c r="B616" s="600"/>
    </row>
    <row r="617" spans="2:2">
      <c r="B617" s="600"/>
    </row>
    <row r="618" spans="2:2">
      <c r="B618" s="600"/>
    </row>
    <row r="619" spans="2:2">
      <c r="B619" s="600"/>
    </row>
    <row r="620" spans="2:2">
      <c r="B620" s="600"/>
    </row>
    <row r="621" spans="2:2">
      <c r="B621" s="600"/>
    </row>
    <row r="622" spans="2:2">
      <c r="B622" s="600"/>
    </row>
    <row r="623" spans="2:2">
      <c r="B623" s="600"/>
    </row>
    <row r="624" spans="2:2">
      <c r="B624" s="600"/>
    </row>
    <row r="625" spans="2:2">
      <c r="B625" s="600"/>
    </row>
    <row r="626" spans="2:2">
      <c r="B626" s="600"/>
    </row>
    <row r="627" spans="2:2">
      <c r="B627" s="600"/>
    </row>
    <row r="628" spans="2:2">
      <c r="B628" s="600"/>
    </row>
    <row r="629" spans="2:2">
      <c r="B629" s="600"/>
    </row>
    <row r="630" spans="2:2">
      <c r="B630" s="600"/>
    </row>
    <row r="631" spans="2:2">
      <c r="B631" s="600"/>
    </row>
    <row r="632" spans="2:2">
      <c r="B632" s="600"/>
    </row>
    <row r="633" spans="2:2">
      <c r="B633" s="600"/>
    </row>
    <row r="634" spans="2:2">
      <c r="B634" s="600"/>
    </row>
    <row r="635" spans="2:2">
      <c r="B635" s="600"/>
    </row>
    <row r="636" spans="2:2">
      <c r="B636" s="600"/>
    </row>
    <row r="637" spans="2:2">
      <c r="B637" s="600"/>
    </row>
    <row r="638" spans="2:2">
      <c r="B638" s="600"/>
    </row>
    <row r="639" spans="2:2">
      <c r="B639" s="600"/>
    </row>
    <row r="640" spans="2:2">
      <c r="B640" s="600"/>
    </row>
    <row r="641" spans="2:2">
      <c r="B641" s="600"/>
    </row>
    <row r="642" spans="2:2">
      <c r="B642" s="600"/>
    </row>
    <row r="643" spans="2:2">
      <c r="B643" s="600"/>
    </row>
    <row r="644" spans="2:2">
      <c r="B644" s="600"/>
    </row>
    <row r="645" spans="2:2">
      <c r="B645" s="600"/>
    </row>
    <row r="646" spans="2:2">
      <c r="B646" s="600"/>
    </row>
    <row r="647" spans="2:2">
      <c r="B647" s="600"/>
    </row>
    <row r="648" spans="2:2">
      <c r="B648" s="600"/>
    </row>
    <row r="649" spans="2:2">
      <c r="B649" s="600"/>
    </row>
    <row r="650" spans="2:2">
      <c r="B650" s="600"/>
    </row>
    <row r="651" spans="2:2">
      <c r="B651" s="600"/>
    </row>
    <row r="652" spans="2:2">
      <c r="B652" s="600"/>
    </row>
    <row r="653" spans="2:2">
      <c r="B653" s="600"/>
    </row>
    <row r="654" spans="2:2">
      <c r="B654" s="600"/>
    </row>
    <row r="655" spans="2:2">
      <c r="B655" s="600"/>
    </row>
    <row r="656" spans="2:2">
      <c r="B656" s="600"/>
    </row>
    <row r="657" spans="2:2">
      <c r="B657" s="600"/>
    </row>
    <row r="658" spans="2:2">
      <c r="B658" s="600"/>
    </row>
    <row r="659" spans="2:2">
      <c r="B659" s="600"/>
    </row>
    <row r="660" spans="2:2">
      <c r="B660" s="600"/>
    </row>
    <row r="661" spans="2:2">
      <c r="B661" s="600"/>
    </row>
    <row r="662" spans="2:2">
      <c r="B662" s="600"/>
    </row>
    <row r="663" spans="2:2">
      <c r="B663" s="600"/>
    </row>
    <row r="664" spans="2:2">
      <c r="B664" s="600"/>
    </row>
    <row r="665" spans="2:2">
      <c r="B665" s="600"/>
    </row>
    <row r="666" spans="2:2">
      <c r="B666" s="600"/>
    </row>
    <row r="667" spans="2:2">
      <c r="B667" s="600"/>
    </row>
    <row r="668" spans="2:2">
      <c r="B668" s="600"/>
    </row>
    <row r="669" spans="2:2">
      <c r="B669" s="600"/>
    </row>
    <row r="670" spans="2:2">
      <c r="B670" s="600"/>
    </row>
    <row r="671" spans="2:2">
      <c r="B671" s="600"/>
    </row>
    <row r="672" spans="2:2">
      <c r="B672" s="600"/>
    </row>
    <row r="673" spans="2:2">
      <c r="B673" s="600"/>
    </row>
    <row r="674" spans="2:2">
      <c r="B674" s="600"/>
    </row>
    <row r="675" spans="2:2">
      <c r="B675" s="600"/>
    </row>
    <row r="676" spans="2:2">
      <c r="B676" s="600"/>
    </row>
    <row r="677" spans="2:2">
      <c r="B677" s="600"/>
    </row>
    <row r="678" spans="2:2">
      <c r="B678" s="600"/>
    </row>
    <row r="679" spans="2:2">
      <c r="B679" s="600"/>
    </row>
    <row r="680" spans="2:2">
      <c r="B680" s="600"/>
    </row>
    <row r="681" spans="2:2">
      <c r="B681" s="600"/>
    </row>
    <row r="682" spans="2:2">
      <c r="B682" s="600"/>
    </row>
    <row r="683" spans="2:2">
      <c r="B683" s="600"/>
    </row>
    <row r="684" spans="2:2">
      <c r="B684" s="600"/>
    </row>
    <row r="685" spans="2:2">
      <c r="B685" s="600"/>
    </row>
    <row r="686" spans="2:2">
      <c r="B686" s="600"/>
    </row>
    <row r="687" spans="2:2">
      <c r="B687" s="600"/>
    </row>
    <row r="688" spans="2:2">
      <c r="B688" s="600"/>
    </row>
    <row r="689" spans="2:2">
      <c r="B689" s="600"/>
    </row>
    <row r="690" spans="2:2">
      <c r="B690" s="600"/>
    </row>
    <row r="691" spans="2:2">
      <c r="B691" s="600"/>
    </row>
    <row r="692" spans="2:2">
      <c r="B692" s="600"/>
    </row>
    <row r="693" spans="2:2">
      <c r="B693" s="600"/>
    </row>
    <row r="694" spans="2:2">
      <c r="B694" s="600"/>
    </row>
    <row r="695" spans="2:2">
      <c r="B695" s="600"/>
    </row>
    <row r="696" spans="2:2">
      <c r="B696" s="600"/>
    </row>
    <row r="697" spans="2:2">
      <c r="B697" s="600"/>
    </row>
    <row r="698" spans="2:2">
      <c r="B698" s="600"/>
    </row>
    <row r="699" spans="2:2">
      <c r="B699" s="600"/>
    </row>
    <row r="700" spans="2:2">
      <c r="B700" s="600"/>
    </row>
    <row r="701" spans="2:2">
      <c r="B701" s="600"/>
    </row>
    <row r="702" spans="2:2">
      <c r="B702" s="600"/>
    </row>
    <row r="703" spans="2:2">
      <c r="B703" s="600"/>
    </row>
    <row r="704" spans="2:2">
      <c r="B704" s="600"/>
    </row>
    <row r="705" spans="2:2">
      <c r="B705" s="600"/>
    </row>
    <row r="706" spans="2:2">
      <c r="B706" s="600"/>
    </row>
    <row r="707" spans="2:2">
      <c r="B707" s="600"/>
    </row>
    <row r="708" spans="2:2">
      <c r="B708" s="600"/>
    </row>
    <row r="709" spans="2:2">
      <c r="B709" s="600"/>
    </row>
    <row r="710" spans="2:2">
      <c r="B710" s="600"/>
    </row>
    <row r="711" spans="2:2">
      <c r="B711" s="600"/>
    </row>
    <row r="712" spans="2:2">
      <c r="B712" s="600"/>
    </row>
    <row r="713" spans="2:2">
      <c r="B713" s="600"/>
    </row>
    <row r="714" spans="2:2">
      <c r="B714" s="600"/>
    </row>
    <row r="715" spans="2:2">
      <c r="B715" s="600"/>
    </row>
    <row r="716" spans="2:2">
      <c r="B716" s="600"/>
    </row>
    <row r="717" spans="2:2">
      <c r="B717" s="600"/>
    </row>
    <row r="718" spans="2:2">
      <c r="B718" s="600"/>
    </row>
    <row r="719" spans="2:2">
      <c r="B719" s="600"/>
    </row>
    <row r="720" spans="2:2">
      <c r="B720" s="600"/>
    </row>
    <row r="721" spans="2:2">
      <c r="B721" s="600"/>
    </row>
    <row r="722" spans="2:2">
      <c r="B722" s="600"/>
    </row>
    <row r="723" spans="2:2">
      <c r="B723" s="600"/>
    </row>
    <row r="724" spans="2:2">
      <c r="B724" s="600"/>
    </row>
    <row r="725" spans="2:2">
      <c r="B725" s="600"/>
    </row>
    <row r="726" spans="2:2">
      <c r="B726" s="600"/>
    </row>
    <row r="727" spans="2:2">
      <c r="B727" s="600"/>
    </row>
    <row r="728" spans="2:2">
      <c r="B728" s="600"/>
    </row>
    <row r="729" spans="2:2">
      <c r="B729" s="600"/>
    </row>
    <row r="730" spans="2:2">
      <c r="B730" s="600"/>
    </row>
    <row r="731" spans="2:2">
      <c r="B731" s="600"/>
    </row>
    <row r="732" spans="2:2">
      <c r="B732" s="600"/>
    </row>
    <row r="733" spans="2:2">
      <c r="B733" s="600"/>
    </row>
    <row r="734" spans="2:2">
      <c r="B734" s="600"/>
    </row>
    <row r="735" spans="2:2">
      <c r="B735" s="600"/>
    </row>
    <row r="736" spans="2:2">
      <c r="B736" s="600"/>
    </row>
    <row r="737" spans="2:2">
      <c r="B737" s="600"/>
    </row>
    <row r="738" spans="2:2">
      <c r="B738" s="600"/>
    </row>
    <row r="739" spans="2:2">
      <c r="B739" s="600"/>
    </row>
    <row r="740" spans="2:2">
      <c r="B740" s="600"/>
    </row>
    <row r="741" spans="2:2">
      <c r="B741" s="600"/>
    </row>
    <row r="742" spans="2:2">
      <c r="B742" s="600"/>
    </row>
    <row r="743" spans="2:2">
      <c r="B743" s="600"/>
    </row>
    <row r="744" spans="2:2">
      <c r="B744" s="600"/>
    </row>
    <row r="745" spans="2:2">
      <c r="B745" s="600"/>
    </row>
    <row r="746" spans="2:2">
      <c r="B746" s="600"/>
    </row>
    <row r="747" spans="2:2">
      <c r="B747" s="600"/>
    </row>
    <row r="748" spans="2:2">
      <c r="B748" s="600"/>
    </row>
    <row r="749" spans="2:2">
      <c r="B749" s="600"/>
    </row>
    <row r="750" spans="2:2">
      <c r="B750" s="600"/>
    </row>
    <row r="751" spans="2:2">
      <c r="B751" s="600"/>
    </row>
    <row r="752" spans="2:2">
      <c r="B752" s="600"/>
    </row>
    <row r="753" spans="2:2">
      <c r="B753" s="600"/>
    </row>
    <row r="754" spans="2:2">
      <c r="B754" s="600"/>
    </row>
    <row r="755" spans="2:2">
      <c r="B755" s="600"/>
    </row>
    <row r="756" spans="2:2">
      <c r="B756" s="600"/>
    </row>
    <row r="757" spans="2:2">
      <c r="B757" s="600"/>
    </row>
    <row r="758" spans="2:2">
      <c r="B758" s="600"/>
    </row>
    <row r="759" spans="2:2">
      <c r="B759" s="600"/>
    </row>
    <row r="760" spans="2:2">
      <c r="B760" s="600"/>
    </row>
    <row r="761" spans="2:2">
      <c r="B761" s="600"/>
    </row>
    <row r="762" spans="2:2">
      <c r="B762" s="600"/>
    </row>
    <row r="763" spans="2:2">
      <c r="B763" s="600"/>
    </row>
    <row r="764" spans="2:2">
      <c r="B764" s="600"/>
    </row>
    <row r="765" spans="2:2">
      <c r="B765" s="600"/>
    </row>
    <row r="766" spans="2:2">
      <c r="B766" s="600"/>
    </row>
    <row r="767" spans="2:2">
      <c r="B767" s="600"/>
    </row>
    <row r="768" spans="2:2">
      <c r="B768" s="600"/>
    </row>
    <row r="769" spans="2:2">
      <c r="B769" s="600"/>
    </row>
    <row r="770" spans="2:2">
      <c r="B770" s="600"/>
    </row>
    <row r="771" spans="2:2">
      <c r="B771" s="600"/>
    </row>
    <row r="772" spans="2:2">
      <c r="B772" s="600"/>
    </row>
    <row r="773" spans="2:2">
      <c r="B773" s="600"/>
    </row>
    <row r="774" spans="2:2">
      <c r="B774" s="600"/>
    </row>
    <row r="775" spans="2:2">
      <c r="B775" s="600"/>
    </row>
    <row r="776" spans="2:2">
      <c r="B776" s="600"/>
    </row>
    <row r="777" spans="2:2">
      <c r="B777" s="600"/>
    </row>
    <row r="778" spans="2:2">
      <c r="B778" s="600"/>
    </row>
    <row r="779" spans="2:2">
      <c r="B779" s="600"/>
    </row>
    <row r="780" spans="2:2">
      <c r="B780" s="600"/>
    </row>
    <row r="781" spans="2:2">
      <c r="B781" s="600"/>
    </row>
    <row r="782" spans="2:2">
      <c r="B782" s="600"/>
    </row>
    <row r="783" spans="2:2">
      <c r="B783" s="600"/>
    </row>
    <row r="784" spans="2:2">
      <c r="B784" s="600"/>
    </row>
    <row r="785" spans="2:2">
      <c r="B785" s="600"/>
    </row>
    <row r="786" spans="2:2">
      <c r="B786" s="600"/>
    </row>
    <row r="787" spans="2:2">
      <c r="B787" s="600"/>
    </row>
    <row r="788" spans="2:2">
      <c r="B788" s="600"/>
    </row>
    <row r="789" spans="2:2">
      <c r="B789" s="600"/>
    </row>
    <row r="790" spans="2:2">
      <c r="B790" s="600"/>
    </row>
    <row r="791" spans="2:2">
      <c r="B791" s="600"/>
    </row>
    <row r="792" spans="2:2">
      <c r="B792" s="600"/>
    </row>
    <row r="793" spans="2:2">
      <c r="B793" s="600"/>
    </row>
    <row r="794" spans="2:2">
      <c r="B794" s="600"/>
    </row>
    <row r="795" spans="2:2">
      <c r="B795" s="600"/>
    </row>
    <row r="796" spans="2:2">
      <c r="B796" s="600"/>
    </row>
    <row r="797" spans="2:2">
      <c r="B797" s="600"/>
    </row>
    <row r="798" spans="2:2">
      <c r="B798" s="600"/>
    </row>
    <row r="799" spans="2:2">
      <c r="B799" s="600"/>
    </row>
    <row r="800" spans="2:2">
      <c r="B800" s="600"/>
    </row>
    <row r="801" spans="2:2">
      <c r="B801" s="600"/>
    </row>
    <row r="802" spans="2:2">
      <c r="B802" s="600"/>
    </row>
    <row r="803" spans="2:2">
      <c r="B803" s="600"/>
    </row>
    <row r="804" spans="2:2">
      <c r="B804" s="600"/>
    </row>
    <row r="805" spans="2:2">
      <c r="B805" s="600"/>
    </row>
    <row r="806" spans="2:2">
      <c r="B806" s="600"/>
    </row>
    <row r="807" spans="2:2">
      <c r="B807" s="600"/>
    </row>
    <row r="808" spans="2:2">
      <c r="B808" s="600"/>
    </row>
    <row r="809" spans="2:2">
      <c r="B809" s="600"/>
    </row>
    <row r="810" spans="2:2">
      <c r="B810" s="600"/>
    </row>
    <row r="811" spans="2:2">
      <c r="B811" s="600"/>
    </row>
    <row r="812" spans="2:2">
      <c r="B812" s="600"/>
    </row>
    <row r="813" spans="2:2">
      <c r="B813" s="600"/>
    </row>
    <row r="814" spans="2:2">
      <c r="B814" s="600"/>
    </row>
    <row r="815" spans="2:2">
      <c r="B815" s="600"/>
    </row>
    <row r="816" spans="2:2">
      <c r="B816" s="600"/>
    </row>
    <row r="817" spans="2:2">
      <c r="B817" s="600"/>
    </row>
    <row r="818" spans="2:2">
      <c r="B818" s="600"/>
    </row>
    <row r="819" spans="2:2">
      <c r="B819" s="600"/>
    </row>
    <row r="820" spans="2:2">
      <c r="B820" s="600"/>
    </row>
    <row r="821" spans="2:2">
      <c r="B821" s="600"/>
    </row>
    <row r="822" spans="2:2">
      <c r="B822" s="600"/>
    </row>
    <row r="823" spans="2:2">
      <c r="B823" s="600"/>
    </row>
    <row r="824" spans="2:2">
      <c r="B824" s="600"/>
    </row>
    <row r="825" spans="2:2">
      <c r="B825" s="600"/>
    </row>
    <row r="826" spans="2:2">
      <c r="B826" s="600"/>
    </row>
    <row r="827" spans="2:2">
      <c r="B827" s="600"/>
    </row>
    <row r="828" spans="2:2">
      <c r="B828" s="600"/>
    </row>
    <row r="829" spans="2:2">
      <c r="B829" s="600"/>
    </row>
    <row r="830" spans="2:2">
      <c r="B830" s="600"/>
    </row>
    <row r="831" spans="2:2">
      <c r="B831" s="600"/>
    </row>
    <row r="832" spans="2:2">
      <c r="B832" s="600"/>
    </row>
    <row r="833" spans="2:2">
      <c r="B833" s="600"/>
    </row>
    <row r="834" spans="2:2">
      <c r="B834" s="600"/>
    </row>
    <row r="835" spans="2:2">
      <c r="B835" s="600"/>
    </row>
    <row r="836" spans="2:2" ht="14.5" customHeight="1"/>
    <row r="837" spans="2:2" ht="14.5" customHeight="1"/>
    <row r="838" spans="2:2" ht="14.5" customHeight="1"/>
    <row r="839" spans="2:2" ht="14.5" customHeight="1"/>
    <row r="840" spans="2:2" ht="14.5" customHeight="1"/>
    <row r="841" spans="2:2" ht="14.5" customHeight="1"/>
    <row r="842" spans="2:2" ht="14.5" customHeight="1"/>
    <row r="843" spans="2:2" ht="14.5" customHeight="1"/>
  </sheetData>
  <mergeCells count="49">
    <mergeCell ref="I14:J15"/>
    <mergeCell ref="I16:J29"/>
    <mergeCell ref="F29:H29"/>
    <mergeCell ref="B36:I36"/>
    <mergeCell ref="B38:I38"/>
    <mergeCell ref="H20:H23"/>
    <mergeCell ref="E25:E26"/>
    <mergeCell ref="H25:H26"/>
    <mergeCell ref="E16:E19"/>
    <mergeCell ref="F16:G16"/>
    <mergeCell ref="F17:G17"/>
    <mergeCell ref="F18:G18"/>
    <mergeCell ref="F19:G19"/>
    <mergeCell ref="F20:G20"/>
    <mergeCell ref="F21:G21"/>
    <mergeCell ref="F22:G22"/>
    <mergeCell ref="B12:G12"/>
    <mergeCell ref="H12:J12"/>
    <mergeCell ref="A6:J6"/>
    <mergeCell ref="A1:J1"/>
    <mergeCell ref="A2:J2"/>
    <mergeCell ref="A4:D4"/>
    <mergeCell ref="E4:J4"/>
    <mergeCell ref="A5:J5"/>
    <mergeCell ref="A7:A38"/>
    <mergeCell ref="B7:J7"/>
    <mergeCell ref="B8:J8"/>
    <mergeCell ref="B10:J10"/>
    <mergeCell ref="C14:C15"/>
    <mergeCell ref="H14:H15"/>
    <mergeCell ref="B20:B23"/>
    <mergeCell ref="B25:B26"/>
    <mergeCell ref="D14:D15"/>
    <mergeCell ref="E14:E15"/>
    <mergeCell ref="B29:D29"/>
    <mergeCell ref="B14:B15"/>
    <mergeCell ref="B16:B19"/>
    <mergeCell ref="F14:G15"/>
    <mergeCell ref="F23:G23"/>
    <mergeCell ref="F24:G24"/>
    <mergeCell ref="F25:G25"/>
    <mergeCell ref="F26:G26"/>
    <mergeCell ref="L25:L26"/>
    <mergeCell ref="M25:M26"/>
    <mergeCell ref="E20:E23"/>
    <mergeCell ref="H16:H19"/>
    <mergeCell ref="B31:J31"/>
    <mergeCell ref="F27:G27"/>
    <mergeCell ref="F28:G28"/>
  </mergeCells>
  <pageMargins left="0.511811024" right="0.511811024" top="0.78740157499999996" bottom="0.78740157499999996" header="0.31496062000000002" footer="0.31496062000000002"/>
  <pageSetup paperSize="9" scale="6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75" customWidth="1"/>
    <col min="2" max="2" width="22.7265625" style="75" customWidth="1"/>
    <col min="3" max="3" width="16.1796875" style="75" customWidth="1"/>
    <col min="4" max="4" width="8.7265625" style="75"/>
    <col min="5" max="5" width="16.453125" style="75" customWidth="1"/>
    <col min="6" max="6" width="8.7265625" style="75"/>
    <col min="7" max="7" width="14" style="75" customWidth="1"/>
    <col min="8" max="16384" width="8.7265625" style="75"/>
  </cols>
  <sheetData>
    <row r="1" spans="1:7" ht="13">
      <c r="B1" s="30" t="s">
        <v>243</v>
      </c>
      <c r="C1" s="30" t="s">
        <v>245</v>
      </c>
      <c r="D1" s="30" t="s">
        <v>244</v>
      </c>
      <c r="E1" s="30" t="s">
        <v>246</v>
      </c>
    </row>
    <row r="2" spans="1:7" ht="16.5" customHeight="1">
      <c r="A2" s="148" t="s">
        <v>237</v>
      </c>
      <c r="B2" s="149" t="s">
        <v>247</v>
      </c>
      <c r="C2" s="85">
        <f>'Servente COM Adicional'!G144</f>
        <v>6835.65</v>
      </c>
      <c r="D2" s="156">
        <v>1</v>
      </c>
      <c r="E2" s="85">
        <f>ROUND(C2*D2,2)</f>
        <v>6835.65</v>
      </c>
      <c r="G2" s="1318">
        <f>SUM(E2:E17)</f>
        <v>193010.98</v>
      </c>
    </row>
    <row r="3" spans="1:7" ht="16.5" customHeight="1">
      <c r="A3" s="148" t="s">
        <v>238</v>
      </c>
      <c r="B3" s="150" t="s">
        <v>247</v>
      </c>
      <c r="C3" s="85">
        <f>C2</f>
        <v>6835.65</v>
      </c>
      <c r="D3" s="156">
        <v>1</v>
      </c>
      <c r="E3" s="85">
        <f t="shared" ref="E3:E17" si="0">ROUND(C3*D3,2)</f>
        <v>6835.65</v>
      </c>
      <c r="G3" s="1319"/>
    </row>
    <row r="4" spans="1:7" ht="16.5" customHeight="1">
      <c r="A4" s="148" t="s">
        <v>239</v>
      </c>
      <c r="B4" s="150" t="s">
        <v>248</v>
      </c>
      <c r="C4" s="85">
        <f>'Servente SEM Adicional'!H142</f>
        <v>6464.19</v>
      </c>
      <c r="D4" s="156">
        <v>1</v>
      </c>
      <c r="E4" s="85">
        <f t="shared" si="0"/>
        <v>6464.19</v>
      </c>
      <c r="G4" s="1319"/>
    </row>
    <row r="5" spans="1:7" ht="16.5" customHeight="1">
      <c r="A5" s="148" t="s">
        <v>239</v>
      </c>
      <c r="B5" s="150" t="s">
        <v>249</v>
      </c>
      <c r="C5" s="85">
        <f>'Servente COM Adicional'!H144</f>
        <v>8068.81</v>
      </c>
      <c r="D5" s="156">
        <v>1</v>
      </c>
      <c r="E5" s="85">
        <f t="shared" si="0"/>
        <v>8068.81</v>
      </c>
      <c r="G5" s="1319"/>
    </row>
    <row r="6" spans="1:7" ht="16.5" customHeight="1" thickBot="1">
      <c r="A6" s="139" t="s">
        <v>141</v>
      </c>
      <c r="B6" s="150" t="s">
        <v>247</v>
      </c>
      <c r="C6" s="85">
        <f>'Servente COM Adicional'!G144</f>
        <v>6835.65</v>
      </c>
      <c r="D6" s="156">
        <v>1</v>
      </c>
      <c r="E6" s="85">
        <f t="shared" si="0"/>
        <v>6835.65</v>
      </c>
      <c r="G6" s="1319"/>
    </row>
    <row r="7" spans="1:7" ht="16.5" customHeight="1" thickBot="1">
      <c r="A7" s="140" t="s">
        <v>138</v>
      </c>
      <c r="B7" s="150" t="s">
        <v>248</v>
      </c>
      <c r="C7" s="85">
        <f>'Servente SEM Adicional'!H142</f>
        <v>6464.19</v>
      </c>
      <c r="D7" s="156">
        <v>1</v>
      </c>
      <c r="E7" s="85">
        <f t="shared" si="0"/>
        <v>6464.19</v>
      </c>
      <c r="G7" s="1319"/>
    </row>
    <row r="8" spans="1:7" ht="16.5" customHeight="1">
      <c r="A8" s="140" t="s">
        <v>138</v>
      </c>
      <c r="B8" s="150" t="s">
        <v>247</v>
      </c>
      <c r="C8" s="85">
        <f>'Servente COM Adicional'!G144</f>
        <v>6835.65</v>
      </c>
      <c r="D8" s="156">
        <v>1</v>
      </c>
      <c r="E8" s="85">
        <f t="shared" si="0"/>
        <v>6835.65</v>
      </c>
      <c r="G8" s="1319"/>
    </row>
    <row r="9" spans="1:7" ht="16.5" customHeight="1">
      <c r="A9" s="148" t="s">
        <v>240</v>
      </c>
      <c r="B9" s="150" t="s">
        <v>247</v>
      </c>
      <c r="C9" s="85">
        <f>'Servente COM Adicional'!G144</f>
        <v>6835.65</v>
      </c>
      <c r="D9" s="156">
        <v>1</v>
      </c>
      <c r="E9" s="85">
        <f t="shared" si="0"/>
        <v>6835.65</v>
      </c>
      <c r="G9" s="1319"/>
    </row>
    <row r="10" spans="1:7" ht="16.5" customHeight="1">
      <c r="A10" s="148" t="s">
        <v>241</v>
      </c>
      <c r="B10" s="150" t="s">
        <v>247</v>
      </c>
      <c r="C10" s="85">
        <f>'Servente COM Adicional'!G144</f>
        <v>6835.65</v>
      </c>
      <c r="D10" s="156">
        <v>1</v>
      </c>
      <c r="E10" s="85">
        <f t="shared" si="0"/>
        <v>6835.65</v>
      </c>
      <c r="G10" s="1319"/>
    </row>
    <row r="11" spans="1:7" ht="16.5" customHeight="1" thickBot="1">
      <c r="A11" s="141" t="s">
        <v>242</v>
      </c>
      <c r="B11" s="150" t="s">
        <v>247</v>
      </c>
      <c r="C11" s="85">
        <f>'Servente COM Adicional'!G144</f>
        <v>6835.65</v>
      </c>
      <c r="D11" s="156">
        <v>1</v>
      </c>
      <c r="E11" s="85">
        <f t="shared" si="0"/>
        <v>6835.65</v>
      </c>
      <c r="G11" s="1319"/>
    </row>
    <row r="12" spans="1:7" ht="16.5" customHeight="1" thickBot="1">
      <c r="A12" s="142" t="s">
        <v>142</v>
      </c>
      <c r="B12" s="150" t="s">
        <v>248</v>
      </c>
      <c r="C12" s="85">
        <f>'Servente SEM Adicional'!H142</f>
        <v>6464.19</v>
      </c>
      <c r="D12" s="156">
        <v>2</v>
      </c>
      <c r="E12" s="85">
        <f t="shared" si="0"/>
        <v>12928.38</v>
      </c>
      <c r="G12" s="1319"/>
    </row>
    <row r="13" spans="1:7" ht="16.5" customHeight="1" thickBot="1">
      <c r="A13" s="142" t="s">
        <v>142</v>
      </c>
      <c r="B13" s="150" t="s">
        <v>247</v>
      </c>
      <c r="C13" s="85">
        <f>'Servente COM Adicional'!G144</f>
        <v>6835.65</v>
      </c>
      <c r="D13" s="156">
        <v>1</v>
      </c>
      <c r="E13" s="85">
        <f t="shared" si="0"/>
        <v>6835.65</v>
      </c>
      <c r="G13" s="1319"/>
    </row>
    <row r="14" spans="1:7" ht="16.5" customHeight="1" thickBot="1">
      <c r="A14" s="140" t="s">
        <v>143</v>
      </c>
      <c r="B14" s="150" t="s">
        <v>248</v>
      </c>
      <c r="C14" s="85">
        <f>'Servente SEM Adicional'!H142</f>
        <v>6464.19</v>
      </c>
      <c r="D14" s="156">
        <v>9</v>
      </c>
      <c r="E14" s="85">
        <f t="shared" si="0"/>
        <v>58177.71</v>
      </c>
      <c r="G14" s="1319"/>
    </row>
    <row r="15" spans="1:7" ht="26.15" customHeight="1" thickBot="1">
      <c r="A15" s="140" t="s">
        <v>143</v>
      </c>
      <c r="B15" s="151" t="s">
        <v>250</v>
      </c>
      <c r="C15" s="85">
        <f>'Servente COM Adicional'!I144</f>
        <v>8670.58</v>
      </c>
      <c r="D15" s="156">
        <v>1</v>
      </c>
      <c r="E15" s="85">
        <f t="shared" si="0"/>
        <v>8670.58</v>
      </c>
      <c r="G15" s="1319"/>
    </row>
    <row r="16" spans="1:7" ht="29.5" customHeight="1" thickBot="1">
      <c r="A16" s="143" t="s">
        <v>145</v>
      </c>
      <c r="B16" s="150" t="s">
        <v>251</v>
      </c>
      <c r="C16" s="85">
        <f>'Servente SEM Adicional'!G142</f>
        <v>5230.97</v>
      </c>
      <c r="D16" s="156">
        <v>1</v>
      </c>
      <c r="E16" s="85">
        <f t="shared" si="0"/>
        <v>5230.97</v>
      </c>
      <c r="G16" s="1319"/>
    </row>
    <row r="17" spans="1:7" ht="16.5" customHeight="1">
      <c r="A17" s="152" t="s">
        <v>146</v>
      </c>
      <c r="B17" s="153" t="s">
        <v>248</v>
      </c>
      <c r="C17" s="155">
        <f>'Servente SEM Adicional'!H142</f>
        <v>6464.19</v>
      </c>
      <c r="D17" s="156">
        <v>5</v>
      </c>
      <c r="E17" s="85">
        <f t="shared" si="0"/>
        <v>32320.95</v>
      </c>
      <c r="G17" s="1319"/>
    </row>
    <row r="18" spans="1:7" ht="16.5" customHeight="1">
      <c r="A18" s="1317" t="s">
        <v>252</v>
      </c>
      <c r="B18" s="1317"/>
      <c r="C18" s="1317"/>
      <c r="D18" s="1317"/>
      <c r="E18" s="85" t="e">
        <f>'Serviços Eventuais'!#REF!</f>
        <v>#REF!</v>
      </c>
      <c r="G18" s="1320"/>
    </row>
    <row r="19" spans="1:7" ht="18" customHeight="1">
      <c r="A19" s="1317" t="s">
        <v>236</v>
      </c>
      <c r="B19" s="1317"/>
      <c r="C19" s="1317"/>
      <c r="D19" s="1317"/>
      <c r="E19" s="154" t="e">
        <f>SUM(E2:E18)</f>
        <v>#REF!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"/>
  <sheetViews>
    <sheetView showGridLines="0" zoomScale="85" zoomScaleNormal="85" workbookViewId="0">
      <selection activeCell="E10" activeCellId="1" sqref="A6:K6 E10:K11"/>
    </sheetView>
  </sheetViews>
  <sheetFormatPr defaultRowHeight="14.5"/>
  <cols>
    <col min="1" max="1" width="7.7265625" customWidth="1"/>
    <col min="2" max="2" width="8.453125" customWidth="1"/>
    <col min="3" max="3" width="8" customWidth="1"/>
    <col min="4" max="4" width="14.1796875" customWidth="1"/>
    <col min="6" max="6" width="8" customWidth="1"/>
    <col min="7" max="7" width="6.453125" customWidth="1"/>
    <col min="8" max="8" width="11" customWidth="1"/>
    <col min="9" max="9" width="16.08984375" customWidth="1"/>
    <col min="10" max="10" width="13.54296875" customWidth="1"/>
    <col min="11" max="11" width="15.54296875" customWidth="1"/>
    <col min="12" max="12" width="13.26953125" customWidth="1"/>
    <col min="13" max="13" width="14.81640625" bestFit="1" customWidth="1"/>
  </cols>
  <sheetData>
    <row r="1" spans="1:13" s="182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</row>
    <row r="2" spans="1:13" s="179" customFormat="1" ht="32.15" customHeight="1">
      <c r="A2" s="735" t="str">
        <f>Instruções!A2</f>
        <v>Contratação de serviços de limpeza asseio e conservação, com fornecimento de material, utensílios e equipamentos, para as unidades do município do Rio de Janeiro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</row>
    <row r="3" spans="1:13" s="179" customFormat="1" ht="6" customHeight="1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2"/>
    </row>
    <row r="4" spans="1:13" s="179" customFormat="1" ht="17.5" customHeight="1">
      <c r="A4" s="737" t="s">
        <v>1</v>
      </c>
      <c r="B4" s="738"/>
      <c r="C4" s="738"/>
      <c r="D4" s="738"/>
      <c r="E4" s="738"/>
      <c r="F4" s="738"/>
      <c r="G4" s="738"/>
      <c r="H4" s="738"/>
      <c r="I4" s="739"/>
      <c r="J4" s="740" t="s">
        <v>315</v>
      </c>
      <c r="K4" s="741"/>
    </row>
    <row r="5" spans="1:13" s="179" customFormat="1" ht="9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3" s="179" customFormat="1" ht="17.5" customHeight="1">
      <c r="A6" s="731" t="s">
        <v>340</v>
      </c>
      <c r="B6" s="731"/>
      <c r="C6" s="731"/>
      <c r="D6" s="731"/>
      <c r="E6" s="731"/>
      <c r="F6" s="731"/>
      <c r="G6" s="731"/>
      <c r="H6" s="731"/>
      <c r="I6" s="731"/>
      <c r="J6" s="731"/>
      <c r="K6" s="731"/>
    </row>
    <row r="7" spans="1:13" ht="11.15" customHeight="1">
      <c r="A7" s="747"/>
      <c r="B7" s="747"/>
      <c r="C7" s="747"/>
      <c r="D7" s="747"/>
      <c r="E7" s="747"/>
      <c r="F7" s="747"/>
      <c r="G7" s="747"/>
      <c r="H7" s="747"/>
      <c r="I7" s="747"/>
      <c r="J7" s="747"/>
      <c r="K7" s="747"/>
    </row>
    <row r="8" spans="1:13" s="182" customFormat="1" ht="20.5" customHeight="1">
      <c r="A8" s="744" t="s">
        <v>56</v>
      </c>
      <c r="B8" s="745"/>
      <c r="C8" s="745"/>
      <c r="D8" s="745"/>
      <c r="E8" s="745"/>
      <c r="F8" s="745"/>
      <c r="G8" s="745"/>
      <c r="H8" s="745"/>
      <c r="I8" s="745"/>
      <c r="J8" s="745"/>
      <c r="K8" s="746"/>
      <c r="L8" s="181"/>
      <c r="M8" s="181"/>
    </row>
    <row r="9" spans="1:13" s="182" customFormat="1" ht="39.65" customHeight="1">
      <c r="A9" s="748" t="s">
        <v>57</v>
      </c>
      <c r="B9" s="748"/>
      <c r="C9" s="748"/>
      <c r="D9" s="689" t="s">
        <v>58</v>
      </c>
      <c r="E9" s="749" t="s">
        <v>59</v>
      </c>
      <c r="F9" s="749"/>
      <c r="G9" s="748" t="s">
        <v>60</v>
      </c>
      <c r="H9" s="748"/>
      <c r="I9" s="689" t="s">
        <v>61</v>
      </c>
      <c r="J9" s="689" t="s">
        <v>62</v>
      </c>
      <c r="K9" s="689" t="s">
        <v>63</v>
      </c>
    </row>
    <row r="10" spans="1:13" s="180" customFormat="1" ht="32.25" customHeight="1">
      <c r="A10" s="735" t="s">
        <v>65</v>
      </c>
      <c r="B10" s="735"/>
      <c r="C10" s="735"/>
      <c r="D10" s="184" t="s">
        <v>66</v>
      </c>
      <c r="E10" s="743" t="s">
        <v>341</v>
      </c>
      <c r="F10" s="743"/>
      <c r="G10" s="743" t="s">
        <v>312</v>
      </c>
      <c r="H10" s="743"/>
      <c r="I10" s="697">
        <v>2025</v>
      </c>
      <c r="J10" s="698" t="s">
        <v>283</v>
      </c>
      <c r="K10" s="699">
        <v>1730.75</v>
      </c>
    </row>
    <row r="11" spans="1:13" s="180" customFormat="1" ht="36" customHeight="1">
      <c r="A11" s="735" t="s">
        <v>64</v>
      </c>
      <c r="B11" s="735"/>
      <c r="C11" s="735"/>
      <c r="D11" s="184" t="s">
        <v>66</v>
      </c>
      <c r="E11" s="743" t="s">
        <v>341</v>
      </c>
      <c r="F11" s="743"/>
      <c r="G11" s="743" t="s">
        <v>312</v>
      </c>
      <c r="H11" s="743"/>
      <c r="I11" s="697">
        <v>2025</v>
      </c>
      <c r="J11" s="698" t="s">
        <v>283</v>
      </c>
      <c r="K11" s="699">
        <v>1730.75</v>
      </c>
    </row>
  </sheetData>
  <mergeCells count="17">
    <mergeCell ref="G11:H11"/>
    <mergeCell ref="A10:C10"/>
    <mergeCell ref="A9:C9"/>
    <mergeCell ref="A11:C11"/>
    <mergeCell ref="E11:F11"/>
    <mergeCell ref="A1:K1"/>
    <mergeCell ref="A2:K2"/>
    <mergeCell ref="A3:K3"/>
    <mergeCell ref="A4:I4"/>
    <mergeCell ref="E10:F10"/>
    <mergeCell ref="A8:K8"/>
    <mergeCell ref="J4:K4"/>
    <mergeCell ref="A6:K6"/>
    <mergeCell ref="A7:K7"/>
    <mergeCell ref="G9:H9"/>
    <mergeCell ref="G10:H10"/>
    <mergeCell ref="E9:F9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2"/>
  <sheetViews>
    <sheetView showGridLines="0" topLeftCell="A26" zoomScale="85" zoomScaleNormal="85" workbookViewId="0">
      <selection activeCell="M21" sqref="M21"/>
    </sheetView>
  </sheetViews>
  <sheetFormatPr defaultRowHeight="14.5"/>
  <cols>
    <col min="1" max="1" width="11.26953125" customWidth="1"/>
    <col min="7" max="8" width="14.54296875" customWidth="1"/>
    <col min="9" max="10" width="12.1796875" customWidth="1"/>
    <col min="11" max="11" width="22.7265625" customWidth="1"/>
    <col min="13" max="13" width="9.453125" bestFit="1" customWidth="1"/>
  </cols>
  <sheetData>
    <row r="1" spans="1:15" s="182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</row>
    <row r="2" spans="1:15" s="179" customFormat="1" ht="32.15" customHeight="1">
      <c r="A2" s="735" t="str">
        <f>Instruções!A2</f>
        <v>Contratação de serviços de limpeza asseio e conservação, com fornecimento de material, utensílios e equipamentos, para as unidades do município do Rio de Janeiro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</row>
    <row r="3" spans="1:15" s="179" customFormat="1" ht="6" customHeight="1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2"/>
    </row>
    <row r="4" spans="1:15" s="179" customFormat="1" ht="19.5" customHeight="1">
      <c r="A4" s="737" t="s">
        <v>1</v>
      </c>
      <c r="B4" s="738"/>
      <c r="C4" s="738"/>
      <c r="D4" s="738"/>
      <c r="E4" s="738"/>
      <c r="F4" s="738"/>
      <c r="G4" s="738"/>
      <c r="H4" s="738"/>
      <c r="I4" s="739"/>
      <c r="J4" s="740" t="str">
        <f>CCT!J4</f>
        <v>10707.720194-2025-26</v>
      </c>
      <c r="K4" s="741"/>
    </row>
    <row r="5" spans="1:15" s="179" customFormat="1" ht="9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5" s="179" customFormat="1" ht="19.5" customHeight="1">
      <c r="A6" s="731" t="s">
        <v>340</v>
      </c>
      <c r="B6" s="731"/>
      <c r="C6" s="731"/>
      <c r="D6" s="731"/>
      <c r="E6" s="731"/>
      <c r="F6" s="731"/>
      <c r="G6" s="731"/>
      <c r="H6" s="731"/>
      <c r="I6" s="731"/>
      <c r="J6" s="731"/>
      <c r="K6" s="731"/>
    </row>
    <row r="7" spans="1:15" s="180" customFormat="1" ht="8.5" customHeight="1"/>
    <row r="8" spans="1:15" s="180" customFormat="1" ht="22.5" customHeight="1">
      <c r="A8" s="759" t="s">
        <v>323</v>
      </c>
      <c r="B8" s="760"/>
      <c r="C8" s="760"/>
      <c r="D8" s="760"/>
      <c r="E8" s="760"/>
      <c r="F8" s="760"/>
      <c r="G8" s="760"/>
      <c r="H8" s="761"/>
      <c r="I8" s="762">
        <v>60</v>
      </c>
      <c r="J8" s="763"/>
      <c r="K8" s="763"/>
    </row>
    <row r="9" spans="1:15" s="36" customFormat="1" ht="8.5" customHeight="1"/>
    <row r="10" spans="1:15" s="182" customFormat="1" ht="22" customHeight="1">
      <c r="A10" s="733" t="s">
        <v>27</v>
      </c>
      <c r="B10" s="733"/>
      <c r="C10" s="733"/>
      <c r="D10" s="733"/>
      <c r="E10" s="733"/>
      <c r="F10" s="733"/>
      <c r="G10" s="733"/>
      <c r="H10" s="733"/>
      <c r="I10" s="733"/>
      <c r="J10" s="733"/>
      <c r="K10" s="733"/>
      <c r="L10" s="181"/>
      <c r="M10" s="181"/>
      <c r="N10" s="181"/>
      <c r="O10" s="185"/>
    </row>
    <row r="11" spans="1:15" s="180" customFormat="1" ht="18.5" customHeight="1">
      <c r="A11" s="186"/>
      <c r="B11" s="187"/>
      <c r="C11" s="187"/>
      <c r="D11" s="187"/>
      <c r="E11" s="187"/>
      <c r="F11" s="187"/>
      <c r="G11" s="187"/>
      <c r="H11" s="187"/>
      <c r="I11" s="187"/>
      <c r="J11" s="187"/>
      <c r="K11" s="688" t="s">
        <v>14</v>
      </c>
      <c r="L11" s="188"/>
      <c r="M11" s="188"/>
      <c r="N11" s="189"/>
      <c r="O11" s="190"/>
    </row>
    <row r="12" spans="1:15" s="180" customFormat="1" ht="19.5" customHeight="1">
      <c r="A12" s="764" t="s">
        <v>169</v>
      </c>
      <c r="B12" s="765"/>
      <c r="C12" s="765"/>
      <c r="D12" s="765"/>
      <c r="E12" s="765"/>
      <c r="F12" s="765"/>
      <c r="G12" s="765"/>
      <c r="H12" s="765"/>
      <c r="I12" s="765"/>
      <c r="J12" s="766"/>
      <c r="K12" s="191">
        <v>21</v>
      </c>
      <c r="L12" s="192"/>
      <c r="M12" s="192"/>
      <c r="N12" s="193"/>
      <c r="O12" s="194"/>
    </row>
    <row r="13" spans="1:15" s="180" customFormat="1" ht="6.65" customHeight="1">
      <c r="A13" s="195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7"/>
      <c r="M13" s="197"/>
      <c r="N13" s="198"/>
      <c r="O13" s="193"/>
    </row>
    <row r="14" spans="1:15" s="180" customFormat="1" ht="19.5" customHeight="1">
      <c r="A14" s="751"/>
      <c r="B14" s="751"/>
      <c r="C14" s="751"/>
      <c r="D14" s="751"/>
      <c r="E14" s="751"/>
      <c r="F14" s="751"/>
      <c r="G14" s="751"/>
      <c r="H14" s="751"/>
      <c r="I14" s="751"/>
      <c r="J14" s="752" t="s">
        <v>14</v>
      </c>
      <c r="K14" s="752"/>
    </row>
    <row r="15" spans="1:15" s="180" customFormat="1" ht="18.75" customHeight="1">
      <c r="A15" s="753" t="s">
        <v>4</v>
      </c>
      <c r="B15" s="754" t="s">
        <v>28</v>
      </c>
      <c r="C15" s="754"/>
      <c r="D15" s="754"/>
      <c r="E15" s="754"/>
      <c r="F15" s="754"/>
      <c r="G15" s="755" t="s">
        <v>29</v>
      </c>
      <c r="H15" s="755"/>
      <c r="I15" s="755"/>
      <c r="J15" s="756">
        <v>25</v>
      </c>
      <c r="K15" s="756"/>
      <c r="M15" s="199"/>
    </row>
    <row r="16" spans="1:15" s="180" customFormat="1" ht="18.75" customHeight="1">
      <c r="A16" s="753"/>
      <c r="B16" s="754"/>
      <c r="C16" s="754"/>
      <c r="D16" s="754"/>
      <c r="E16" s="754"/>
      <c r="F16" s="754"/>
      <c r="G16" s="755" t="s">
        <v>30</v>
      </c>
      <c r="H16" s="755"/>
      <c r="I16" s="755"/>
      <c r="J16" s="757">
        <f>ROUND(0.1*J15,2)</f>
        <v>2.5</v>
      </c>
      <c r="K16" s="757"/>
      <c r="M16" s="199"/>
    </row>
    <row r="17" spans="1:14" s="180" customFormat="1" ht="18.75" customHeight="1">
      <c r="A17" s="755" t="s">
        <v>5</v>
      </c>
      <c r="B17" s="754" t="s">
        <v>31</v>
      </c>
      <c r="C17" s="754"/>
      <c r="D17" s="754"/>
      <c r="E17" s="754"/>
      <c r="F17" s="754"/>
      <c r="G17" s="755" t="s">
        <v>32</v>
      </c>
      <c r="H17" s="755"/>
      <c r="I17" s="755"/>
      <c r="J17" s="758">
        <v>2</v>
      </c>
      <c r="K17" s="758"/>
    </row>
    <row r="18" spans="1:14" s="180" customFormat="1" ht="18.75" customHeight="1">
      <c r="A18" s="755"/>
      <c r="B18" s="754"/>
      <c r="C18" s="754"/>
      <c r="D18" s="754"/>
      <c r="E18" s="754"/>
      <c r="F18" s="754"/>
      <c r="G18" s="755" t="s">
        <v>338</v>
      </c>
      <c r="H18" s="755"/>
      <c r="I18" s="755"/>
      <c r="J18" s="767">
        <v>4.7</v>
      </c>
      <c r="K18" s="767"/>
      <c r="M18" s="199"/>
    </row>
    <row r="19" spans="1:14" s="180" customFormat="1" ht="18.75" customHeight="1">
      <c r="A19" s="755"/>
      <c r="B19" s="754"/>
      <c r="C19" s="754"/>
      <c r="D19" s="754"/>
      <c r="E19" s="754"/>
      <c r="F19" s="754"/>
      <c r="G19" s="755" t="s">
        <v>32</v>
      </c>
      <c r="H19" s="755"/>
      <c r="I19" s="755"/>
      <c r="J19" s="758">
        <v>2</v>
      </c>
      <c r="K19" s="758"/>
      <c r="M19" s="199"/>
    </row>
    <row r="20" spans="1:14" s="180" customFormat="1" ht="18.75" customHeight="1">
      <c r="A20" s="755"/>
      <c r="B20" s="754"/>
      <c r="C20" s="754"/>
      <c r="D20" s="754"/>
      <c r="E20" s="754"/>
      <c r="F20" s="754"/>
      <c r="G20" s="755" t="s">
        <v>339</v>
      </c>
      <c r="H20" s="755"/>
      <c r="I20" s="755"/>
      <c r="J20" s="767">
        <v>5</v>
      </c>
      <c r="K20" s="767"/>
      <c r="L20" s="200"/>
      <c r="M20" s="199"/>
    </row>
    <row r="21" spans="1:14" s="180" customFormat="1" ht="19.5" customHeight="1">
      <c r="A21" s="201" t="s">
        <v>6</v>
      </c>
      <c r="B21" s="772" t="s">
        <v>33</v>
      </c>
      <c r="C21" s="772"/>
      <c r="D21" s="772"/>
      <c r="E21" s="772"/>
      <c r="F21" s="772"/>
      <c r="G21" s="755" t="s">
        <v>34</v>
      </c>
      <c r="H21" s="755"/>
      <c r="I21" s="755"/>
      <c r="J21" s="773">
        <v>21.6</v>
      </c>
      <c r="K21" s="773"/>
    </row>
    <row r="22" spans="1:14" ht="9" customHeight="1">
      <c r="A22" s="768"/>
      <c r="B22" s="768"/>
      <c r="C22" s="768"/>
      <c r="D22" s="768"/>
      <c r="E22" s="768"/>
      <c r="F22" s="768"/>
      <c r="G22" s="768"/>
      <c r="H22" s="768"/>
      <c r="I22" s="768"/>
      <c r="J22" s="768"/>
      <c r="K22" s="768"/>
    </row>
    <row r="23" spans="1:14" s="182" customFormat="1" ht="19.5" customHeight="1">
      <c r="A23" s="769" t="s">
        <v>47</v>
      </c>
      <c r="B23" s="769"/>
      <c r="C23" s="769"/>
      <c r="D23" s="769"/>
      <c r="E23" s="769"/>
      <c r="F23" s="769"/>
      <c r="G23" s="769"/>
      <c r="H23" s="769"/>
      <c r="I23" s="769"/>
      <c r="J23" s="769"/>
      <c r="K23" s="769"/>
    </row>
    <row r="24" spans="1:14" s="180" customFormat="1" ht="30.65" customHeight="1">
      <c r="A24" s="770" t="s">
        <v>484</v>
      </c>
      <c r="B24" s="770"/>
      <c r="C24" s="770"/>
      <c r="D24" s="770"/>
      <c r="E24" s="770"/>
      <c r="F24" s="770"/>
      <c r="G24" s="770"/>
      <c r="H24" s="770"/>
      <c r="I24" s="770"/>
      <c r="J24" s="770"/>
      <c r="K24" s="700">
        <v>5.9299999999999999E-2</v>
      </c>
    </row>
    <row r="25" spans="1:14" s="180" customFormat="1" ht="19.5" customHeight="1">
      <c r="A25" s="771" t="s">
        <v>48</v>
      </c>
      <c r="B25" s="771"/>
      <c r="C25" s="771"/>
      <c r="D25" s="771"/>
      <c r="E25" s="771"/>
      <c r="F25" s="771"/>
      <c r="G25" s="771"/>
      <c r="H25" s="771"/>
      <c r="I25" s="771"/>
      <c r="J25" s="771"/>
      <c r="K25" s="700">
        <v>0.06</v>
      </c>
    </row>
    <row r="26" spans="1:14" s="180" customFormat="1" ht="19.5" customHeight="1">
      <c r="A26" s="771" t="s">
        <v>49</v>
      </c>
      <c r="B26" s="771"/>
      <c r="C26" s="771"/>
      <c r="D26" s="771"/>
      <c r="E26" s="778" t="s">
        <v>50</v>
      </c>
      <c r="F26" s="778"/>
      <c r="G26" s="779" t="s">
        <v>51</v>
      </c>
      <c r="H26" s="779"/>
      <c r="I26" s="779"/>
      <c r="J26" s="779"/>
      <c r="K26" s="701"/>
    </row>
    <row r="27" spans="1:14" s="180" customFormat="1" ht="19.5" customHeight="1">
      <c r="A27" s="771" t="s">
        <v>52</v>
      </c>
      <c r="B27" s="771"/>
      <c r="C27" s="771"/>
      <c r="D27" s="771"/>
      <c r="E27" s="771"/>
      <c r="F27" s="771"/>
      <c r="G27" s="771"/>
      <c r="H27" s="771"/>
      <c r="I27" s="771"/>
      <c r="J27" s="771"/>
      <c r="K27" s="695">
        <f>IF(E26="Lucro Real",0.0165,IF(E26="Lucro Presumido",0.0065,VLOOKUP(K26,'Anexo IV da LC - OCULTAR'!A12:H20,7,1)))</f>
        <v>1.6500000000000001E-2</v>
      </c>
    </row>
    <row r="28" spans="1:14" s="180" customFormat="1" ht="19.5" customHeight="1">
      <c r="A28" s="771" t="s">
        <v>53</v>
      </c>
      <c r="B28" s="771"/>
      <c r="C28" s="771"/>
      <c r="D28" s="771"/>
      <c r="E28" s="771"/>
      <c r="F28" s="771"/>
      <c r="G28" s="771"/>
      <c r="H28" s="771"/>
      <c r="I28" s="771"/>
      <c r="J28" s="771"/>
      <c r="K28" s="695">
        <f>IF(E26="Lucro Real",0.076,IF(E26="Lucro Presumido",0.03,VLOOKUP(K26,'Anexo IV da LC - OCULTAR'!A12:H20,6,1)))</f>
        <v>7.5999999999999998E-2</v>
      </c>
    </row>
    <row r="29" spans="1:14" s="180" customFormat="1" ht="19.5" customHeight="1">
      <c r="A29" s="780" t="s">
        <v>215</v>
      </c>
      <c r="B29" s="781"/>
      <c r="C29" s="781"/>
      <c r="D29" s="781"/>
      <c r="E29" s="781"/>
      <c r="F29" s="781"/>
      <c r="G29" s="781"/>
      <c r="H29" s="781"/>
      <c r="I29" s="781"/>
      <c r="J29" s="781"/>
      <c r="K29" s="702"/>
      <c r="L29" s="202"/>
      <c r="M29" s="202"/>
      <c r="N29" s="203"/>
    </row>
    <row r="30" spans="1:14" s="180" customFormat="1" ht="19.5" customHeight="1">
      <c r="A30" s="780" t="s">
        <v>216</v>
      </c>
      <c r="B30" s="781"/>
      <c r="C30" s="781"/>
      <c r="D30" s="781"/>
      <c r="E30" s="781"/>
      <c r="F30" s="781"/>
      <c r="G30" s="781"/>
      <c r="H30" s="781"/>
      <c r="I30" s="781"/>
      <c r="J30" s="781"/>
      <c r="K30" s="702"/>
      <c r="L30" s="202"/>
      <c r="M30" s="202"/>
      <c r="N30" s="203"/>
    </row>
    <row r="31" spans="1:14" s="180" customFormat="1" ht="19.5" customHeight="1">
      <c r="A31" s="774" t="s">
        <v>54</v>
      </c>
      <c r="B31" s="775"/>
      <c r="C31" s="775"/>
      <c r="D31" s="775"/>
      <c r="E31" s="775"/>
      <c r="F31" s="775"/>
      <c r="G31" s="776"/>
      <c r="H31" s="776"/>
      <c r="I31" s="776"/>
      <c r="J31" s="777"/>
      <c r="K31" s="204">
        <f>IF($E$26="Lucro Real",5%,IF($E$26="Lucro Presumido",5%,VLOOKUP($K$26,'Anexo IV da LC - OCULTAR'!$A$11:$H$22,8,1)))</f>
        <v>0.05</v>
      </c>
    </row>
    <row r="32" spans="1:14" s="180" customFormat="1" ht="19" customHeight="1">
      <c r="A32" s="750" t="s">
        <v>217</v>
      </c>
      <c r="B32" s="750"/>
      <c r="C32" s="750"/>
      <c r="D32" s="750"/>
      <c r="E32" s="750"/>
      <c r="F32" s="750"/>
      <c r="G32" s="750"/>
      <c r="H32" s="750"/>
      <c r="I32" s="750"/>
      <c r="J32" s="750"/>
      <c r="K32" s="205">
        <f>SUM(K31,K30,K29,K28,K27)</f>
        <v>0.14249999999999999</v>
      </c>
      <c r="L32" s="200"/>
    </row>
  </sheetData>
  <mergeCells count="45">
    <mergeCell ref="A25:J25"/>
    <mergeCell ref="B21:F21"/>
    <mergeCell ref="G21:I21"/>
    <mergeCell ref="J21:K21"/>
    <mergeCell ref="A31:F31"/>
    <mergeCell ref="G31:J31"/>
    <mergeCell ref="A26:D26"/>
    <mergeCell ref="E26:F26"/>
    <mergeCell ref="G26:J26"/>
    <mergeCell ref="A27:J27"/>
    <mergeCell ref="A28:J28"/>
    <mergeCell ref="A29:J29"/>
    <mergeCell ref="A30:J30"/>
    <mergeCell ref="G20:I20"/>
    <mergeCell ref="J20:K20"/>
    <mergeCell ref="A22:K22"/>
    <mergeCell ref="A23:K23"/>
    <mergeCell ref="A24:J24"/>
    <mergeCell ref="I8:K8"/>
    <mergeCell ref="A12:J12"/>
    <mergeCell ref="G18:I18"/>
    <mergeCell ref="J18:K18"/>
    <mergeCell ref="G19:I19"/>
    <mergeCell ref="J19:K19"/>
    <mergeCell ref="A1:K1"/>
    <mergeCell ref="A2:K2"/>
    <mergeCell ref="J4:K4"/>
    <mergeCell ref="A3:K3"/>
    <mergeCell ref="A4:I4"/>
    <mergeCell ref="A32:J32"/>
    <mergeCell ref="A6:K6"/>
    <mergeCell ref="A10:K10"/>
    <mergeCell ref="A14:I14"/>
    <mergeCell ref="J14:K14"/>
    <mergeCell ref="A15:A16"/>
    <mergeCell ref="B15:F16"/>
    <mergeCell ref="G15:I15"/>
    <mergeCell ref="J15:K15"/>
    <mergeCell ref="G16:I16"/>
    <mergeCell ref="J16:K16"/>
    <mergeCell ref="A17:A20"/>
    <mergeCell ref="B17:F20"/>
    <mergeCell ref="G17:I17"/>
    <mergeCell ref="J17:K17"/>
    <mergeCell ref="A8:H8"/>
  </mergeCells>
  <dataValidations count="1">
    <dataValidation type="list" operator="equal" allowBlank="1" showInputMessage="1" showErrorMessage="1" sqref="E26" xr:uid="{00000000-0002-0000-0200-000000000000}">
      <formula1>"Lucro Real,Lucro Presumido,Simples Nacional"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0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topLeftCell="A5" workbookViewId="0">
      <selection activeCell="J5" sqref="J5"/>
    </sheetView>
  </sheetViews>
  <sheetFormatPr defaultColWidth="8.7265625" defaultRowHeight="14.5"/>
  <cols>
    <col min="1" max="1" width="17.7265625" style="36" customWidth="1"/>
    <col min="2" max="2" width="18.1796875" style="36" customWidth="1"/>
    <col min="3" max="3" width="10.54296875" style="36" customWidth="1"/>
    <col min="4" max="7" width="8.7265625" style="36"/>
    <col min="8" max="8" width="9.54296875" style="36" customWidth="1"/>
    <col min="9" max="9" width="17.453125" style="36" customWidth="1"/>
    <col min="10" max="10" width="14.453125" style="36" customWidth="1"/>
    <col min="11" max="16384" width="8.7265625" style="36"/>
  </cols>
  <sheetData>
    <row r="1" spans="1:17" ht="15" customHeight="1">
      <c r="A1" s="782" t="s">
        <v>170</v>
      </c>
      <c r="B1" s="782"/>
      <c r="C1" s="782"/>
      <c r="D1" s="782"/>
      <c r="E1" s="782"/>
      <c r="F1" s="782"/>
      <c r="G1" s="782"/>
      <c r="H1" s="782"/>
      <c r="I1" s="77"/>
      <c r="J1" s="77"/>
      <c r="K1" s="78"/>
      <c r="L1" s="78"/>
    </row>
    <row r="2" spans="1:17" ht="28.5" customHeight="1">
      <c r="A2" s="783" t="s">
        <v>171</v>
      </c>
      <c r="B2" s="783"/>
      <c r="C2" s="783"/>
      <c r="D2" s="783"/>
      <c r="E2" s="783"/>
      <c r="F2" s="783"/>
      <c r="G2" s="783"/>
      <c r="H2" s="783"/>
      <c r="I2" s="77"/>
      <c r="J2" s="77"/>
      <c r="K2" s="78"/>
      <c r="L2" s="78"/>
    </row>
    <row r="3" spans="1:17" ht="29">
      <c r="A3" s="784" t="s">
        <v>172</v>
      </c>
      <c r="B3" s="784"/>
      <c r="C3" s="165" t="s">
        <v>16</v>
      </c>
      <c r="D3" s="165" t="s">
        <v>173</v>
      </c>
      <c r="E3" s="165" t="s">
        <v>174</v>
      </c>
      <c r="F3" s="165" t="s">
        <v>175</v>
      </c>
      <c r="G3" s="165" t="s">
        <v>176</v>
      </c>
      <c r="H3" s="165" t="s">
        <v>177</v>
      </c>
      <c r="I3" s="165" t="s">
        <v>178</v>
      </c>
      <c r="J3" s="165" t="s">
        <v>179</v>
      </c>
      <c r="K3" s="79" t="s">
        <v>180</v>
      </c>
      <c r="L3" s="78"/>
      <c r="Q3" s="80"/>
    </row>
    <row r="4" spans="1:17">
      <c r="A4" s="81">
        <v>0</v>
      </c>
      <c r="B4" s="81">
        <v>180000</v>
      </c>
      <c r="C4" s="82">
        <v>4.4999999999999998E-2</v>
      </c>
      <c r="D4" s="82">
        <f>0.188*C4</f>
        <v>8.5000000000000006E-3</v>
      </c>
      <c r="E4" s="82">
        <f>0.152*C4</f>
        <v>6.7999999999999996E-3</v>
      </c>
      <c r="F4" s="82">
        <f>0.1767*C4</f>
        <v>8.0000000000000002E-3</v>
      </c>
      <c r="G4" s="82">
        <f>0.0383*C4</f>
        <v>1.6999999999999999E-3</v>
      </c>
      <c r="H4" s="82">
        <f>0.445*C4</f>
        <v>0.02</v>
      </c>
      <c r="I4" s="81">
        <v>0</v>
      </c>
      <c r="J4" s="166" t="e">
        <f>(('Benefícios e Outros Dados'!$K$26*C4)-I4)/'Benefícios e Outros Dados'!$K$26</f>
        <v>#DIV/0!</v>
      </c>
      <c r="K4" s="83" t="s">
        <v>181</v>
      </c>
      <c r="L4" s="84">
        <f t="shared" ref="L4:L10" si="0">SUM(D4:H4)</f>
        <v>4.4999999999999998E-2</v>
      </c>
    </row>
    <row r="5" spans="1:17">
      <c r="A5" s="81">
        <v>180000.01</v>
      </c>
      <c r="B5" s="81">
        <v>360000</v>
      </c>
      <c r="C5" s="82">
        <v>0.09</v>
      </c>
      <c r="D5" s="82">
        <f>0.198*C5</f>
        <v>1.78E-2</v>
      </c>
      <c r="E5" s="82">
        <f>0.152*C5</f>
        <v>1.37E-2</v>
      </c>
      <c r="F5" s="82">
        <f>0.2055*C5</f>
        <v>1.8499999999999999E-2</v>
      </c>
      <c r="G5" s="82">
        <f>0.0445*C5</f>
        <v>4.0000000000000001E-3</v>
      </c>
      <c r="H5" s="82">
        <f>0.4*C5</f>
        <v>3.5999999999999997E-2</v>
      </c>
      <c r="I5" s="81">
        <v>8100</v>
      </c>
      <c r="J5" s="166" t="e">
        <f>(('Benefícios e Outros Dados'!$K$26*C5)-I5)/'Benefícios e Outros Dados'!$K$26</f>
        <v>#DIV/0!</v>
      </c>
      <c r="K5" s="83" t="s">
        <v>182</v>
      </c>
      <c r="L5" s="84">
        <f t="shared" si="0"/>
        <v>0.09</v>
      </c>
    </row>
    <row r="6" spans="1:17">
      <c r="A6" s="81">
        <v>360000.01</v>
      </c>
      <c r="B6" s="81">
        <v>720000</v>
      </c>
      <c r="C6" s="82">
        <v>0.10199999999999999</v>
      </c>
      <c r="D6" s="82">
        <f>0.208*C6</f>
        <v>2.12E-2</v>
      </c>
      <c r="E6" s="82">
        <f>0.152*C6</f>
        <v>1.55E-2</v>
      </c>
      <c r="F6" s="82">
        <f>0.1973*C6</f>
        <v>2.01E-2</v>
      </c>
      <c r="G6" s="82">
        <f>0.0427*C6</f>
        <v>4.4000000000000003E-3</v>
      </c>
      <c r="H6" s="82">
        <f>0.4*C6</f>
        <v>4.0800000000000003E-2</v>
      </c>
      <c r="I6" s="81">
        <v>12420</v>
      </c>
      <c r="J6" s="166" t="e">
        <f>(('Benefícios e Outros Dados'!$K$26*C6)-I6)/'Benefícios e Outros Dados'!$K$26</f>
        <v>#DIV/0!</v>
      </c>
      <c r="K6" s="83" t="s">
        <v>183</v>
      </c>
      <c r="L6" s="84">
        <f t="shared" si="0"/>
        <v>0.10199999999999999</v>
      </c>
    </row>
    <row r="7" spans="1:17">
      <c r="A7" s="81">
        <v>720000.01</v>
      </c>
      <c r="B7" s="81">
        <v>1800000</v>
      </c>
      <c r="C7" s="82">
        <v>0.14000000000000001</v>
      </c>
      <c r="D7" s="82">
        <f>0.178*C7</f>
        <v>2.4899999999999999E-2</v>
      </c>
      <c r="E7" s="82">
        <f>0.192*C7</f>
        <v>2.69E-2</v>
      </c>
      <c r="F7" s="82">
        <f>0.189*C7</f>
        <v>2.6499999999999999E-2</v>
      </c>
      <c r="G7" s="82">
        <f>0.041*C7</f>
        <v>5.7000000000000002E-3</v>
      </c>
      <c r="H7" s="82">
        <f>0.4*C7</f>
        <v>5.6000000000000001E-2</v>
      </c>
      <c r="I7" s="81">
        <v>39780</v>
      </c>
      <c r="J7" s="166" t="e">
        <f>(('Benefícios e Outros Dados'!$K$26*C7)-I7)/'Benefícios e Outros Dados'!$K$26</f>
        <v>#DIV/0!</v>
      </c>
      <c r="K7" s="83" t="s">
        <v>184</v>
      </c>
      <c r="L7" s="84">
        <f t="shared" si="0"/>
        <v>0.14000000000000001</v>
      </c>
    </row>
    <row r="8" spans="1:17">
      <c r="A8" s="81">
        <v>1800001</v>
      </c>
      <c r="B8" s="81">
        <v>1939999</v>
      </c>
      <c r="C8" s="82">
        <v>0.22</v>
      </c>
      <c r="D8" s="82">
        <f>0.188*C8</f>
        <v>4.1399999999999999E-2</v>
      </c>
      <c r="E8" s="82">
        <f>0.192*C8</f>
        <v>4.2200000000000001E-2</v>
      </c>
      <c r="F8" s="82">
        <f>0.1808*C8</f>
        <v>3.9800000000000002E-2</v>
      </c>
      <c r="G8" s="82">
        <f>0.0392*C8</f>
        <v>8.6E-3</v>
      </c>
      <c r="H8" s="82">
        <f>0.4*C8</f>
        <v>8.7999999999999995E-2</v>
      </c>
      <c r="I8" s="81">
        <v>183780</v>
      </c>
      <c r="J8" s="166" t="e">
        <f>(('Benefícios e Outros Dados'!$K$26*C8)-I8)/'Benefícios e Outros Dados'!$K$26</f>
        <v>#DIV/0!</v>
      </c>
      <c r="K8" s="83" t="s">
        <v>185</v>
      </c>
      <c r="L8" s="84">
        <f t="shared" si="0"/>
        <v>0.22</v>
      </c>
    </row>
    <row r="9" spans="1:17">
      <c r="A9" s="81">
        <v>1940000</v>
      </c>
      <c r="B9" s="81">
        <v>3600000</v>
      </c>
      <c r="C9" s="82">
        <v>0.22</v>
      </c>
      <c r="D9" s="82">
        <f>0.188*C9</f>
        <v>4.1399999999999999E-2</v>
      </c>
      <c r="E9" s="82">
        <f>0.192*C9</f>
        <v>4.2200000000000001E-2</v>
      </c>
      <c r="F9" s="82">
        <f>0.1808*C9</f>
        <v>3.9800000000000002E-2</v>
      </c>
      <c r="G9" s="82">
        <f>0.0392*C9</f>
        <v>8.6E-3</v>
      </c>
      <c r="H9" s="82">
        <f>0.4*C9</f>
        <v>8.7999999999999995E-2</v>
      </c>
      <c r="I9" s="81">
        <v>183780</v>
      </c>
      <c r="J9" s="166" t="e">
        <f>(('Benefícios e Outros Dados'!$K$26*C9)-I9)/'Benefícios e Outros Dados'!$K$26</f>
        <v>#DIV/0!</v>
      </c>
      <c r="K9" s="83" t="s">
        <v>186</v>
      </c>
      <c r="L9" s="84">
        <f t="shared" si="0"/>
        <v>0.22</v>
      </c>
    </row>
    <row r="10" spans="1:17">
      <c r="A10" s="81">
        <v>3600000.01</v>
      </c>
      <c r="B10" s="81">
        <v>4800000</v>
      </c>
      <c r="C10" s="82">
        <v>0.33</v>
      </c>
      <c r="D10" s="82">
        <f>0.535*C10</f>
        <v>0.17660000000000001</v>
      </c>
      <c r="E10" s="82">
        <f>0.215*C10</f>
        <v>7.0999999999999994E-2</v>
      </c>
      <c r="F10" s="82">
        <f>0.2055*C10</f>
        <v>6.7799999999999999E-2</v>
      </c>
      <c r="G10" s="82">
        <f>0.0445*C10</f>
        <v>1.47E-2</v>
      </c>
      <c r="H10" s="82">
        <v>0</v>
      </c>
      <c r="I10" s="81">
        <v>828000</v>
      </c>
      <c r="J10" s="166" t="e">
        <f>(('Benefícios e Outros Dados'!$K$26*C10)-I10)/'Benefícios e Outros Dados'!$K$26</f>
        <v>#DIV/0!</v>
      </c>
      <c r="K10" s="83" t="s">
        <v>187</v>
      </c>
      <c r="L10" s="84">
        <f t="shared" si="0"/>
        <v>0.3301</v>
      </c>
    </row>
    <row r="11" spans="1:17">
      <c r="A11" s="81"/>
      <c r="B11" s="81"/>
      <c r="C11" s="82"/>
      <c r="D11" s="82"/>
      <c r="E11" s="82"/>
      <c r="F11" s="82"/>
      <c r="G11" s="82"/>
      <c r="H11" s="82"/>
      <c r="I11" s="83"/>
      <c r="J11" s="83"/>
      <c r="K11" s="78"/>
      <c r="L11" s="78"/>
    </row>
    <row r="12" spans="1:17" ht="29">
      <c r="A12" s="784" t="s">
        <v>172</v>
      </c>
      <c r="B12" s="784"/>
      <c r="C12" s="165" t="s">
        <v>188</v>
      </c>
      <c r="D12" s="165" t="s">
        <v>173</v>
      </c>
      <c r="E12" s="165" t="s">
        <v>174</v>
      </c>
      <c r="F12" s="165" t="s">
        <v>175</v>
      </c>
      <c r="G12" s="165" t="s">
        <v>176</v>
      </c>
      <c r="H12" s="165" t="s">
        <v>177</v>
      </c>
      <c r="I12" s="79" t="s">
        <v>180</v>
      </c>
      <c r="J12" s="83"/>
      <c r="K12" s="78"/>
      <c r="L12" s="78"/>
    </row>
    <row r="13" spans="1:17">
      <c r="A13" s="81">
        <v>0</v>
      </c>
      <c r="B13" s="81">
        <v>180000</v>
      </c>
      <c r="C13" s="82" t="e">
        <f t="shared" ref="C13:C19" si="1">J4</f>
        <v>#DIV/0!</v>
      </c>
      <c r="D13" s="82" t="e">
        <f>0.188*C13</f>
        <v>#DIV/0!</v>
      </c>
      <c r="E13" s="82" t="e">
        <f>0.152*C13</f>
        <v>#DIV/0!</v>
      </c>
      <c r="F13" s="82" t="e">
        <f>0.1767*C13</f>
        <v>#DIV/0!</v>
      </c>
      <c r="G13" s="82" t="e">
        <f>0.0383*C13</f>
        <v>#DIV/0!</v>
      </c>
      <c r="H13" s="82" t="e">
        <f>0.445*C13</f>
        <v>#DIV/0!</v>
      </c>
      <c r="I13" s="83" t="s">
        <v>181</v>
      </c>
      <c r="J13" s="83"/>
      <c r="K13" s="78"/>
      <c r="L13" s="78"/>
    </row>
    <row r="14" spans="1:17">
      <c r="A14" s="81">
        <v>180000.01</v>
      </c>
      <c r="B14" s="81">
        <v>360000</v>
      </c>
      <c r="C14" s="82" t="e">
        <f t="shared" si="1"/>
        <v>#DIV/0!</v>
      </c>
      <c r="D14" s="82" t="e">
        <f>0.198*C14</f>
        <v>#DIV/0!</v>
      </c>
      <c r="E14" s="82" t="e">
        <f>0.152*C14</f>
        <v>#DIV/0!</v>
      </c>
      <c r="F14" s="82" t="e">
        <f>0.2055*C14</f>
        <v>#DIV/0!</v>
      </c>
      <c r="G14" s="82" t="e">
        <f>0.0445*C14</f>
        <v>#DIV/0!</v>
      </c>
      <c r="H14" s="82" t="e">
        <f>0.4*C14</f>
        <v>#DIV/0!</v>
      </c>
      <c r="I14" s="83" t="s">
        <v>182</v>
      </c>
      <c r="J14" s="83"/>
      <c r="K14" s="78"/>
      <c r="L14" s="78"/>
    </row>
    <row r="15" spans="1:17">
      <c r="A15" s="81">
        <v>360000.01</v>
      </c>
      <c r="B15" s="81">
        <v>720000</v>
      </c>
      <c r="C15" s="82" t="e">
        <f t="shared" si="1"/>
        <v>#DIV/0!</v>
      </c>
      <c r="D15" s="82" t="e">
        <f>0.208*C15</f>
        <v>#DIV/0!</v>
      </c>
      <c r="E15" s="82" t="e">
        <f>0.152*C15</f>
        <v>#DIV/0!</v>
      </c>
      <c r="F15" s="82" t="e">
        <f>0.1973*C15</f>
        <v>#DIV/0!</v>
      </c>
      <c r="G15" s="82" t="e">
        <f>0.0427*C15</f>
        <v>#DIV/0!</v>
      </c>
      <c r="H15" s="82" t="e">
        <f>0.4*C15</f>
        <v>#DIV/0!</v>
      </c>
      <c r="I15" s="83" t="s">
        <v>183</v>
      </c>
      <c r="J15" s="83"/>
      <c r="K15" s="78"/>
      <c r="L15" s="78"/>
    </row>
    <row r="16" spans="1:17">
      <c r="A16" s="81">
        <v>720000.01</v>
      </c>
      <c r="B16" s="81">
        <v>1800000</v>
      </c>
      <c r="C16" s="82" t="e">
        <f t="shared" si="1"/>
        <v>#DIV/0!</v>
      </c>
      <c r="D16" s="82" t="e">
        <f>0.178*C16</f>
        <v>#DIV/0!</v>
      </c>
      <c r="E16" s="82" t="e">
        <f>0.192*C16</f>
        <v>#DIV/0!</v>
      </c>
      <c r="F16" s="82" t="e">
        <f>0.189*C16</f>
        <v>#DIV/0!</v>
      </c>
      <c r="G16" s="82" t="e">
        <f>0.041*C16</f>
        <v>#DIV/0!</v>
      </c>
      <c r="H16" s="82" t="e">
        <f>0.4*C16</f>
        <v>#DIV/0!</v>
      </c>
      <c r="I16" s="83" t="s">
        <v>184</v>
      </c>
      <c r="J16" s="83"/>
      <c r="K16" s="78"/>
      <c r="L16" s="78"/>
    </row>
    <row r="17" spans="1:12">
      <c r="A17" s="81">
        <v>1800001</v>
      </c>
      <c r="B17" s="81">
        <v>1939999</v>
      </c>
      <c r="C17" s="82" t="e">
        <f t="shared" si="1"/>
        <v>#DIV/0!</v>
      </c>
      <c r="D17" s="82" t="e">
        <f>0.188*C17</f>
        <v>#DIV/0!</v>
      </c>
      <c r="E17" s="82" t="e">
        <f>0.192*C17</f>
        <v>#DIV/0!</v>
      </c>
      <c r="F17" s="82" t="e">
        <f>0.1808*C17</f>
        <v>#DIV/0!</v>
      </c>
      <c r="G17" s="82" t="e">
        <f>0.0392*C17</f>
        <v>#DIV/0!</v>
      </c>
      <c r="H17" s="82" t="e">
        <f>0.4*C17</f>
        <v>#DIV/0!</v>
      </c>
      <c r="I17" s="83" t="s">
        <v>185</v>
      </c>
      <c r="J17" s="83"/>
      <c r="K17" s="78"/>
      <c r="L17" s="78"/>
    </row>
    <row r="18" spans="1:12">
      <c r="A18" s="81">
        <v>1940000</v>
      </c>
      <c r="B18" s="81">
        <v>3600000</v>
      </c>
      <c r="C18" s="82" t="e">
        <f t="shared" si="1"/>
        <v>#DIV/0!</v>
      </c>
      <c r="D18" s="82" t="e">
        <f>(C18-0.05)*0.3133</f>
        <v>#DIV/0!</v>
      </c>
      <c r="E18" s="82" t="e">
        <f>(C18-0.05)*0.32</f>
        <v>#DIV/0!</v>
      </c>
      <c r="F18" s="82" t="e">
        <f>(C18-0.05)*0.3013</f>
        <v>#DIV/0!</v>
      </c>
      <c r="G18" s="82" t="e">
        <f>(C18-0.05)*0.0654</f>
        <v>#DIV/0!</v>
      </c>
      <c r="H18" s="82">
        <v>0.05</v>
      </c>
      <c r="I18" s="83" t="s">
        <v>186</v>
      </c>
      <c r="J18" s="83"/>
      <c r="K18" s="78"/>
      <c r="L18" s="78"/>
    </row>
    <row r="19" spans="1:12">
      <c r="A19" s="81">
        <v>3600000.01</v>
      </c>
      <c r="B19" s="81">
        <v>4800000</v>
      </c>
      <c r="C19" s="82" t="e">
        <f t="shared" si="1"/>
        <v>#DIV/0!</v>
      </c>
      <c r="D19" s="82" t="e">
        <f>0.535*C19</f>
        <v>#DIV/0!</v>
      </c>
      <c r="E19" s="82" t="e">
        <f>0.215*C19</f>
        <v>#DIV/0!</v>
      </c>
      <c r="F19" s="82" t="e">
        <f>0.2055*C19</f>
        <v>#DIV/0!</v>
      </c>
      <c r="G19" s="82" t="e">
        <f>0.0445*C19</f>
        <v>#DIV/0!</v>
      </c>
      <c r="H19" s="82">
        <v>0.05</v>
      </c>
      <c r="I19" s="83" t="s">
        <v>187</v>
      </c>
      <c r="J19" s="83"/>
      <c r="K19" s="78"/>
      <c r="L19" s="78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GridLines="0" topLeftCell="A19" zoomScale="85" zoomScaleNormal="85" workbookViewId="0">
      <selection activeCell="B22" activeCellId="4" sqref="A6:G6 D13:D23 E22 E23 B22:C23"/>
    </sheetView>
  </sheetViews>
  <sheetFormatPr defaultColWidth="8.7265625" defaultRowHeight="14.5"/>
  <cols>
    <col min="1" max="1" width="8.7265625" style="180"/>
    <col min="2" max="2" width="32.26953125" style="179" customWidth="1"/>
    <col min="3" max="3" width="21.453125" style="179" customWidth="1"/>
    <col min="4" max="4" width="17.7265625" style="179" customWidth="1"/>
    <col min="5" max="5" width="13.7265625" style="179" customWidth="1"/>
    <col min="6" max="6" width="9.453125" style="179" customWidth="1"/>
    <col min="7" max="7" width="13" style="179" customWidth="1"/>
    <col min="8" max="16384" width="8.7265625" style="180"/>
  </cols>
  <sheetData>
    <row r="1" spans="1:12" ht="22" customHeight="1">
      <c r="A1" s="785" t="s">
        <v>0</v>
      </c>
      <c r="B1" s="785"/>
      <c r="C1" s="785"/>
      <c r="D1" s="785"/>
      <c r="E1" s="785"/>
      <c r="F1" s="785"/>
      <c r="G1" s="785"/>
    </row>
    <row r="2" spans="1:12" ht="34.5" customHeight="1">
      <c r="A2" s="735" t="str">
        <f>Instruções!A2</f>
        <v>Contratação de serviços de limpeza asseio e conservação, com fornecimento de material, utensílios e equipamentos, para as unidades do município do Rio de Janeiro</v>
      </c>
      <c r="B2" s="735"/>
      <c r="C2" s="735"/>
      <c r="D2" s="735"/>
      <c r="E2" s="735"/>
      <c r="F2" s="735"/>
      <c r="G2" s="735"/>
    </row>
    <row r="3" spans="1:12" s="179" customFormat="1" ht="6" customHeight="1">
      <c r="A3" s="786"/>
      <c r="B3" s="786"/>
      <c r="C3" s="786"/>
      <c r="D3" s="786"/>
      <c r="E3" s="786"/>
      <c r="F3" s="786"/>
      <c r="G3" s="786"/>
    </row>
    <row r="4" spans="1:12" s="179" customFormat="1" ht="19.5" customHeight="1">
      <c r="A4" s="779" t="s">
        <v>1</v>
      </c>
      <c r="B4" s="779"/>
      <c r="C4" s="779"/>
      <c r="D4" s="779"/>
      <c r="E4" s="779"/>
      <c r="F4" s="787" t="s">
        <v>315</v>
      </c>
      <c r="G4" s="787"/>
    </row>
    <row r="5" spans="1:12" s="179" customFormat="1" ht="9" customHeight="1">
      <c r="A5" s="788"/>
      <c r="B5" s="788"/>
      <c r="C5" s="788"/>
      <c r="D5" s="788"/>
      <c r="E5" s="788"/>
      <c r="F5" s="788"/>
      <c r="G5" s="789"/>
    </row>
    <row r="6" spans="1:12" s="179" customFormat="1" ht="19.5" customHeight="1">
      <c r="A6" s="731" t="s">
        <v>340</v>
      </c>
      <c r="B6" s="731"/>
      <c r="C6" s="731"/>
      <c r="D6" s="731"/>
      <c r="E6" s="731"/>
      <c r="F6" s="731"/>
      <c r="G6" s="731"/>
    </row>
    <row r="7" spans="1:12" ht="11.25" customHeight="1">
      <c r="A7" s="790"/>
      <c r="B7" s="790"/>
      <c r="C7" s="790"/>
      <c r="D7" s="790"/>
      <c r="E7" s="790"/>
      <c r="F7" s="790"/>
      <c r="G7" s="790"/>
    </row>
    <row r="8" spans="1:12" ht="20.5" customHeight="1">
      <c r="A8" s="791" t="s">
        <v>163</v>
      </c>
      <c r="B8" s="791"/>
      <c r="C8" s="791"/>
      <c r="D8" s="791"/>
      <c r="E8" s="791"/>
      <c r="F8" s="791"/>
      <c r="G8" s="791"/>
    </row>
    <row r="9" spans="1:12" ht="6.75" customHeight="1">
      <c r="A9" s="792"/>
      <c r="B9" s="792"/>
      <c r="C9" s="792"/>
      <c r="D9" s="792"/>
      <c r="E9" s="792"/>
      <c r="F9" s="792"/>
      <c r="G9" s="793"/>
    </row>
    <row r="10" spans="1:12" ht="20.5" customHeight="1">
      <c r="A10" s="794" t="s">
        <v>8</v>
      </c>
      <c r="B10" s="794"/>
      <c r="C10" s="794"/>
      <c r="D10" s="794"/>
      <c r="E10" s="794"/>
      <c r="F10" s="794"/>
      <c r="G10" s="794"/>
    </row>
    <row r="11" spans="1:12" ht="2" customHeight="1">
      <c r="A11" s="795"/>
      <c r="B11" s="795"/>
      <c r="C11" s="795"/>
      <c r="D11" s="795"/>
      <c r="E11" s="795"/>
      <c r="F11" s="795"/>
      <c r="G11" s="796"/>
    </row>
    <row r="12" spans="1:12" ht="31.5" customHeight="1">
      <c r="A12" s="690" t="s">
        <v>36</v>
      </c>
      <c r="B12" s="797" t="s">
        <v>342</v>
      </c>
      <c r="C12" s="797"/>
      <c r="D12" s="692" t="s">
        <v>37</v>
      </c>
      <c r="E12" s="692" t="s">
        <v>38</v>
      </c>
      <c r="F12" s="692" t="s">
        <v>39</v>
      </c>
      <c r="G12" s="692" t="s">
        <v>40</v>
      </c>
      <c r="J12" s="801"/>
      <c r="K12" s="801"/>
      <c r="L12" s="801"/>
    </row>
    <row r="13" spans="1:12" ht="29.5" customHeight="1">
      <c r="A13" s="693" t="s">
        <v>509</v>
      </c>
      <c r="B13" s="802" t="s">
        <v>41</v>
      </c>
      <c r="C13" s="802"/>
      <c r="D13" s="703">
        <v>62.17</v>
      </c>
      <c r="E13" s="691">
        <v>4</v>
      </c>
      <c r="F13" s="206">
        <v>2</v>
      </c>
      <c r="G13" s="207">
        <f t="shared" ref="G13:G23" si="0">ROUND((D13*F13)/E13,2)</f>
        <v>31.09</v>
      </c>
      <c r="J13" s="801"/>
      <c r="K13" s="801"/>
      <c r="L13" s="801"/>
    </row>
    <row r="14" spans="1:12" ht="31" customHeight="1">
      <c r="A14" s="693" t="s">
        <v>510</v>
      </c>
      <c r="B14" s="727" t="s">
        <v>42</v>
      </c>
      <c r="C14" s="729"/>
      <c r="D14" s="703">
        <v>19.600000000000001</v>
      </c>
      <c r="E14" s="691">
        <v>4</v>
      </c>
      <c r="F14" s="206">
        <v>2</v>
      </c>
      <c r="G14" s="207">
        <f t="shared" si="0"/>
        <v>9.8000000000000007</v>
      </c>
      <c r="J14" s="801"/>
      <c r="K14" s="801"/>
      <c r="L14" s="801"/>
    </row>
    <row r="15" spans="1:12" ht="19.5" customHeight="1">
      <c r="A15" s="693" t="s">
        <v>511</v>
      </c>
      <c r="B15" s="727" t="s">
        <v>43</v>
      </c>
      <c r="C15" s="729"/>
      <c r="D15" s="703">
        <v>4.75</v>
      </c>
      <c r="E15" s="691">
        <v>4</v>
      </c>
      <c r="F15" s="206">
        <v>2</v>
      </c>
      <c r="G15" s="207">
        <f t="shared" si="0"/>
        <v>2.38</v>
      </c>
      <c r="J15" s="801"/>
      <c r="K15" s="801"/>
      <c r="L15" s="801"/>
    </row>
    <row r="16" spans="1:12" ht="29.5" customHeight="1">
      <c r="A16" s="693" t="s">
        <v>512</v>
      </c>
      <c r="B16" s="727" t="s">
        <v>285</v>
      </c>
      <c r="C16" s="729"/>
      <c r="D16" s="703">
        <f>ROUND(AVERAGE(99.9,66.54,81.81,45.43),2)</f>
        <v>73.42</v>
      </c>
      <c r="E16" s="691">
        <v>4</v>
      </c>
      <c r="F16" s="206">
        <v>1</v>
      </c>
      <c r="G16" s="207">
        <f t="shared" si="0"/>
        <v>18.36</v>
      </c>
      <c r="J16" s="801"/>
      <c r="K16" s="801"/>
      <c r="L16" s="801"/>
    </row>
    <row r="17" spans="1:7" ht="19.5" customHeight="1">
      <c r="A17" s="693" t="s">
        <v>513</v>
      </c>
      <c r="B17" s="727" t="s">
        <v>44</v>
      </c>
      <c r="C17" s="729"/>
      <c r="D17" s="703">
        <v>62.97</v>
      </c>
      <c r="E17" s="691">
        <v>4</v>
      </c>
      <c r="F17" s="206">
        <v>1</v>
      </c>
      <c r="G17" s="207">
        <f t="shared" si="0"/>
        <v>15.74</v>
      </c>
    </row>
    <row r="18" spans="1:7" ht="19.5" customHeight="1">
      <c r="A18" s="693" t="s">
        <v>514</v>
      </c>
      <c r="B18" s="727" t="s">
        <v>286</v>
      </c>
      <c r="C18" s="729"/>
      <c r="D18" s="703">
        <f>AVERAGE(19.9,10.2,13.49,16)</f>
        <v>14.9</v>
      </c>
      <c r="E18" s="691">
        <v>6</v>
      </c>
      <c r="F18" s="206">
        <v>1</v>
      </c>
      <c r="G18" s="207">
        <f t="shared" si="0"/>
        <v>2.48</v>
      </c>
    </row>
    <row r="19" spans="1:7" ht="19.5" customHeight="1">
      <c r="A19" s="693" t="s">
        <v>515</v>
      </c>
      <c r="B19" s="727" t="s">
        <v>313</v>
      </c>
      <c r="C19" s="729"/>
      <c r="D19" s="703">
        <v>177.32</v>
      </c>
      <c r="E19" s="691">
        <v>6</v>
      </c>
      <c r="F19" s="206">
        <v>1</v>
      </c>
      <c r="G19" s="207">
        <f>ROUND((D19*F19)/E19,2)</f>
        <v>29.55</v>
      </c>
    </row>
    <row r="20" spans="1:7" ht="19.5" customHeight="1">
      <c r="A20" s="693" t="s">
        <v>516</v>
      </c>
      <c r="B20" s="208" t="s">
        <v>166</v>
      </c>
      <c r="C20" s="209"/>
      <c r="D20" s="703">
        <v>4.16</v>
      </c>
      <c r="E20" s="691">
        <v>3</v>
      </c>
      <c r="F20" s="206">
        <v>1</v>
      </c>
      <c r="G20" s="207">
        <f t="shared" ref="G20:G21" si="1">ROUND((D20*F20)/E20,2)</f>
        <v>1.39</v>
      </c>
    </row>
    <row r="21" spans="1:7" ht="26.5" customHeight="1">
      <c r="A21" s="693" t="s">
        <v>517</v>
      </c>
      <c r="B21" s="208" t="s">
        <v>314</v>
      </c>
      <c r="C21" s="209"/>
      <c r="D21" s="703">
        <v>12.83</v>
      </c>
      <c r="E21" s="691">
        <v>4</v>
      </c>
      <c r="F21" s="206">
        <v>2</v>
      </c>
      <c r="G21" s="207">
        <f t="shared" si="1"/>
        <v>6.42</v>
      </c>
    </row>
    <row r="22" spans="1:7" ht="18.5" customHeight="1">
      <c r="A22" s="693" t="s">
        <v>518</v>
      </c>
      <c r="B22" s="730" t="s">
        <v>45</v>
      </c>
      <c r="C22" s="730"/>
      <c r="D22" s="703"/>
      <c r="E22" s="704">
        <v>12</v>
      </c>
      <c r="F22" s="206">
        <v>0</v>
      </c>
      <c r="G22" s="207">
        <f t="shared" si="0"/>
        <v>0</v>
      </c>
    </row>
    <row r="23" spans="1:7" ht="18.5" customHeight="1">
      <c r="A23" s="693" t="s">
        <v>519</v>
      </c>
      <c r="B23" s="730" t="s">
        <v>45</v>
      </c>
      <c r="C23" s="730"/>
      <c r="D23" s="703"/>
      <c r="E23" s="704">
        <v>12</v>
      </c>
      <c r="F23" s="206">
        <v>0</v>
      </c>
      <c r="G23" s="207">
        <f t="shared" si="0"/>
        <v>0</v>
      </c>
    </row>
    <row r="24" spans="1:7" ht="4.5" customHeight="1">
      <c r="A24" s="792"/>
      <c r="B24" s="792"/>
      <c r="C24" s="792"/>
      <c r="D24" s="792"/>
      <c r="E24" s="792"/>
      <c r="F24" s="792"/>
      <c r="G24" s="793"/>
    </row>
    <row r="25" spans="1:7" ht="18" customHeight="1">
      <c r="A25" s="799" t="s">
        <v>46</v>
      </c>
      <c r="B25" s="799"/>
      <c r="C25" s="799"/>
      <c r="D25" s="799"/>
      <c r="E25" s="799"/>
      <c r="F25" s="210">
        <v>0.02</v>
      </c>
      <c r="G25" s="207">
        <f>ROUND(SUM(G13:G23)*F25,2)</f>
        <v>2.34</v>
      </c>
    </row>
    <row r="26" spans="1:7" ht="20" customHeight="1">
      <c r="A26" s="800" t="s">
        <v>164</v>
      </c>
      <c r="B26" s="800"/>
      <c r="C26" s="800"/>
      <c r="D26" s="800"/>
      <c r="E26" s="800"/>
      <c r="F26" s="800"/>
      <c r="G26" s="694">
        <f>SUM(G25,G22:G23,G19:G21,G18,G17,G16,G15,G14,G13)</f>
        <v>119.55</v>
      </c>
    </row>
    <row r="27" spans="1:7">
      <c r="A27" s="798" t="s">
        <v>165</v>
      </c>
      <c r="B27" s="798"/>
      <c r="C27" s="798"/>
      <c r="D27" s="798"/>
      <c r="E27" s="798"/>
      <c r="F27" s="798"/>
      <c r="G27" s="798"/>
    </row>
  </sheetData>
  <mergeCells count="27">
    <mergeCell ref="J12:L16"/>
    <mergeCell ref="B13:C13"/>
    <mergeCell ref="B14:C14"/>
    <mergeCell ref="B15:C15"/>
    <mergeCell ref="B16:C16"/>
    <mergeCell ref="A10:G10"/>
    <mergeCell ref="A11:G11"/>
    <mergeCell ref="B12:C12"/>
    <mergeCell ref="A27:G27"/>
    <mergeCell ref="B19:C19"/>
    <mergeCell ref="A25:E25"/>
    <mergeCell ref="A26:F26"/>
    <mergeCell ref="B17:C17"/>
    <mergeCell ref="B18:C18"/>
    <mergeCell ref="B22:C22"/>
    <mergeCell ref="B23:C23"/>
    <mergeCell ref="A24:G24"/>
    <mergeCell ref="A5:G5"/>
    <mergeCell ref="A6:G6"/>
    <mergeCell ref="A7:G7"/>
    <mergeCell ref="A8:G8"/>
    <mergeCell ref="A9:G9"/>
    <mergeCell ref="A1:G1"/>
    <mergeCell ref="A2:G2"/>
    <mergeCell ref="A3:G3"/>
    <mergeCell ref="A4:E4"/>
    <mergeCell ref="F4:G4"/>
  </mergeCells>
  <pageMargins left="1.6929133858267718" right="0.51181102362204722" top="0.78740157480314965" bottom="0.78740157480314965" header="0.31496062992125984" footer="0.31496062992125984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81"/>
  <sheetViews>
    <sheetView showGridLines="0" topLeftCell="A71" zoomScaleNormal="100" workbookViewId="0">
      <selection activeCell="G79" sqref="G79"/>
    </sheetView>
  </sheetViews>
  <sheetFormatPr defaultRowHeight="14.5"/>
  <cols>
    <col min="1" max="1" width="8.7265625" style="36"/>
    <col min="2" max="2" width="40.08984375" customWidth="1"/>
    <col min="3" max="3" width="18" customWidth="1"/>
    <col min="4" max="4" width="12.7265625" customWidth="1"/>
    <col min="5" max="5" width="13.6328125" customWidth="1"/>
    <col min="6" max="6" width="15" customWidth="1"/>
    <col min="7" max="7" width="20.90625" customWidth="1"/>
  </cols>
  <sheetData>
    <row r="1" spans="1:60" s="182" customFormat="1" ht="22.5" customHeight="1">
      <c r="A1" s="803" t="s">
        <v>0</v>
      </c>
      <c r="B1" s="804"/>
      <c r="C1" s="804"/>
      <c r="D1" s="804"/>
      <c r="E1" s="804"/>
      <c r="F1" s="804"/>
      <c r="G1" s="805"/>
    </row>
    <row r="2" spans="1:60" s="2" customFormat="1" ht="32.15" customHeight="1">
      <c r="A2" s="813" t="str">
        <f>'Benefícios e Outros Dados'!A2</f>
        <v>Contratação de serviços de limpeza asseio e conservação, com fornecimento de material, utensílios e equipamentos, para as unidades do município do Rio de Janeiro</v>
      </c>
      <c r="B2" s="814"/>
      <c r="C2" s="814"/>
      <c r="D2" s="814"/>
      <c r="E2" s="814"/>
      <c r="F2" s="814"/>
      <c r="G2" s="815"/>
    </row>
    <row r="3" spans="1:60" s="2" customFormat="1" ht="6" customHeight="1">
      <c r="B3" s="37"/>
      <c r="C3" s="37"/>
      <c r="D3" s="37"/>
      <c r="E3" s="37"/>
      <c r="F3" s="37"/>
      <c r="G3" s="178"/>
    </row>
    <row r="4" spans="1:60" s="2" customFormat="1" ht="19.5" customHeight="1">
      <c r="A4" s="764" t="s">
        <v>1</v>
      </c>
      <c r="B4" s="765"/>
      <c r="C4" s="765"/>
      <c r="D4" s="765"/>
      <c r="E4" s="765"/>
      <c r="F4" s="766"/>
      <c r="G4" s="201" t="str">
        <f>CCT!J4</f>
        <v>10707.720194-2025-26</v>
      </c>
    </row>
    <row r="5" spans="1:60" s="2" customFormat="1" ht="9" customHeight="1"/>
    <row r="6" spans="1:60" s="2" customFormat="1" ht="19.5" customHeight="1">
      <c r="A6" s="810" t="s">
        <v>340</v>
      </c>
      <c r="B6" s="811"/>
      <c r="C6" s="811"/>
      <c r="D6" s="811"/>
      <c r="E6" s="811"/>
      <c r="F6" s="811"/>
      <c r="G6" s="812"/>
    </row>
    <row r="7" spans="1:60" s="36" customFormat="1" ht="11.15" customHeight="1">
      <c r="B7" s="159"/>
      <c r="C7" s="159"/>
      <c r="D7" s="159"/>
      <c r="E7" s="159"/>
      <c r="F7" s="159"/>
      <c r="G7" s="159"/>
    </row>
    <row r="8" spans="1:60" s="182" customFormat="1" ht="22" customHeight="1">
      <c r="A8" s="807" t="s">
        <v>253</v>
      </c>
      <c r="B8" s="808"/>
      <c r="C8" s="808"/>
      <c r="D8" s="808"/>
      <c r="E8" s="808"/>
      <c r="F8" s="808"/>
      <c r="G8" s="809"/>
      <c r="H8" s="185"/>
      <c r="M8" s="213"/>
      <c r="N8" s="214"/>
      <c r="O8" s="215"/>
    </row>
    <row r="9" spans="1:60" s="36" customFormat="1" ht="7" customHeight="1">
      <c r="M9" s="172"/>
      <c r="N9" s="173"/>
      <c r="O9" s="171"/>
    </row>
    <row r="10" spans="1:60" s="36" customFormat="1" ht="39.75" customHeight="1">
      <c r="A10" s="685" t="s">
        <v>36</v>
      </c>
      <c r="B10" s="686" t="s">
        <v>342</v>
      </c>
      <c r="C10" s="686" t="s">
        <v>167</v>
      </c>
      <c r="D10" s="687" t="s">
        <v>38</v>
      </c>
      <c r="E10" s="687" t="s">
        <v>37</v>
      </c>
      <c r="F10" s="687" t="s">
        <v>254</v>
      </c>
      <c r="G10" s="687" t="s">
        <v>255</v>
      </c>
      <c r="H10" s="157"/>
      <c r="I10" s="157"/>
      <c r="J10" s="157"/>
      <c r="K10" s="158"/>
      <c r="L10" s="158"/>
      <c r="M10" s="172"/>
      <c r="N10" s="173"/>
      <c r="O10" s="171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ht="18" customHeight="1">
      <c r="A11" s="220" t="s">
        <v>343</v>
      </c>
      <c r="B11" s="221" t="s">
        <v>256</v>
      </c>
      <c r="C11" s="222" t="s">
        <v>257</v>
      </c>
      <c r="D11" s="696">
        <v>12</v>
      </c>
      <c r="E11" s="705">
        <v>8.2200000000000006</v>
      </c>
      <c r="F11" s="223">
        <v>678</v>
      </c>
      <c r="G11" s="207">
        <f>ROUND((E11*F11)/D11,2)</f>
        <v>464.43</v>
      </c>
      <c r="M11" s="172"/>
      <c r="N11" s="173"/>
      <c r="O11" s="171"/>
    </row>
    <row r="12" spans="1:60" ht="18" customHeight="1">
      <c r="A12" s="220" t="s">
        <v>344</v>
      </c>
      <c r="B12" s="221" t="s">
        <v>399</v>
      </c>
      <c r="C12" s="222" t="s">
        <v>258</v>
      </c>
      <c r="D12" s="696">
        <v>12</v>
      </c>
      <c r="E12" s="705">
        <v>9.2200000000000006</v>
      </c>
      <c r="F12" s="223">
        <v>825</v>
      </c>
      <c r="G12" s="207">
        <f t="shared" ref="G12:G73" si="0">ROUND((E12*F12)/D12,2)</f>
        <v>633.88</v>
      </c>
    </row>
    <row r="13" spans="1:60" ht="18" customHeight="1">
      <c r="A13" s="224" t="s">
        <v>345</v>
      </c>
      <c r="B13" s="221" t="s">
        <v>400</v>
      </c>
      <c r="C13" s="222" t="s">
        <v>259</v>
      </c>
      <c r="D13" s="696">
        <v>12</v>
      </c>
      <c r="E13" s="705">
        <v>7.47</v>
      </c>
      <c r="F13" s="223">
        <v>427</v>
      </c>
      <c r="G13" s="207">
        <f t="shared" si="0"/>
        <v>265.81</v>
      </c>
    </row>
    <row r="14" spans="1:60" ht="27" customHeight="1">
      <c r="A14" s="220" t="s">
        <v>346</v>
      </c>
      <c r="B14" s="225" t="s">
        <v>401</v>
      </c>
      <c r="C14" s="222" t="s">
        <v>260</v>
      </c>
      <c r="D14" s="696">
        <v>12</v>
      </c>
      <c r="E14" s="705">
        <v>9.93</v>
      </c>
      <c r="F14" s="223">
        <v>76</v>
      </c>
      <c r="G14" s="207">
        <f t="shared" si="0"/>
        <v>62.89</v>
      </c>
    </row>
    <row r="15" spans="1:60" ht="18" customHeight="1">
      <c r="A15" s="220" t="s">
        <v>347</v>
      </c>
      <c r="B15" s="226" t="s">
        <v>269</v>
      </c>
      <c r="C15" s="227" t="s">
        <v>260</v>
      </c>
      <c r="D15" s="696">
        <v>12</v>
      </c>
      <c r="E15" s="705">
        <v>5.47</v>
      </c>
      <c r="F15" s="223">
        <v>173</v>
      </c>
      <c r="G15" s="207">
        <f t="shared" si="0"/>
        <v>78.86</v>
      </c>
    </row>
    <row r="16" spans="1:60" ht="18" customHeight="1">
      <c r="A16" s="224" t="s">
        <v>348</v>
      </c>
      <c r="B16" s="225" t="s">
        <v>402</v>
      </c>
      <c r="C16" s="228" t="s">
        <v>257</v>
      </c>
      <c r="D16" s="696">
        <v>12</v>
      </c>
      <c r="E16" s="705">
        <v>60.33</v>
      </c>
      <c r="F16" s="223">
        <v>256</v>
      </c>
      <c r="G16" s="207">
        <f t="shared" si="0"/>
        <v>1287.04</v>
      </c>
    </row>
    <row r="17" spans="1:7" ht="18" customHeight="1">
      <c r="A17" s="220" t="s">
        <v>349</v>
      </c>
      <c r="B17" s="221" t="s">
        <v>403</v>
      </c>
      <c r="C17" s="222" t="s">
        <v>260</v>
      </c>
      <c r="D17" s="696">
        <v>12</v>
      </c>
      <c r="E17" s="705">
        <v>6.11</v>
      </c>
      <c r="F17" s="223">
        <v>42</v>
      </c>
      <c r="G17" s="207">
        <f t="shared" si="0"/>
        <v>21.39</v>
      </c>
    </row>
    <row r="18" spans="1:7" ht="18" customHeight="1">
      <c r="A18" s="220" t="s">
        <v>350</v>
      </c>
      <c r="B18" s="225" t="s">
        <v>404</v>
      </c>
      <c r="C18" s="222" t="s">
        <v>260</v>
      </c>
      <c r="D18" s="696">
        <v>12</v>
      </c>
      <c r="E18" s="705">
        <v>8.66</v>
      </c>
      <c r="F18" s="223">
        <v>40</v>
      </c>
      <c r="G18" s="207">
        <f t="shared" si="0"/>
        <v>28.87</v>
      </c>
    </row>
    <row r="19" spans="1:7" s="36" customFormat="1" ht="18" customHeight="1">
      <c r="A19" s="224" t="s">
        <v>351</v>
      </c>
      <c r="B19" s="225" t="s">
        <v>522</v>
      </c>
      <c r="C19" s="222" t="s">
        <v>257</v>
      </c>
      <c r="D19" s="696">
        <v>12</v>
      </c>
      <c r="E19" s="705">
        <v>65.27</v>
      </c>
      <c r="F19" s="223">
        <v>12</v>
      </c>
      <c r="G19" s="207">
        <f t="shared" si="0"/>
        <v>65.27</v>
      </c>
    </row>
    <row r="20" spans="1:7" ht="18" customHeight="1">
      <c r="A20" s="220" t="s">
        <v>352</v>
      </c>
      <c r="B20" s="225" t="s">
        <v>405</v>
      </c>
      <c r="C20" s="222" t="s">
        <v>257</v>
      </c>
      <c r="D20" s="696">
        <v>12</v>
      </c>
      <c r="E20" s="705">
        <v>44.8</v>
      </c>
      <c r="F20" s="223">
        <v>504</v>
      </c>
      <c r="G20" s="207">
        <f t="shared" si="0"/>
        <v>1881.6</v>
      </c>
    </row>
    <row r="21" spans="1:7" ht="18" customHeight="1">
      <c r="A21" s="220" t="s">
        <v>353</v>
      </c>
      <c r="B21" s="225" t="s">
        <v>406</v>
      </c>
      <c r="C21" s="229" t="s">
        <v>299</v>
      </c>
      <c r="D21" s="696">
        <v>12</v>
      </c>
      <c r="E21" s="705">
        <v>14.13</v>
      </c>
      <c r="F21" s="223">
        <v>422</v>
      </c>
      <c r="G21" s="207">
        <f t="shared" si="0"/>
        <v>496.91</v>
      </c>
    </row>
    <row r="22" spans="1:7" ht="18" customHeight="1">
      <c r="A22" s="224" t="s">
        <v>354</v>
      </c>
      <c r="B22" s="225" t="s">
        <v>407</v>
      </c>
      <c r="C22" s="230" t="s">
        <v>257</v>
      </c>
      <c r="D22" s="696">
        <v>12</v>
      </c>
      <c r="E22" s="705">
        <v>20.75</v>
      </c>
      <c r="F22" s="223">
        <v>294</v>
      </c>
      <c r="G22" s="207">
        <f t="shared" si="0"/>
        <v>508.38</v>
      </c>
    </row>
    <row r="23" spans="1:7" ht="18" customHeight="1">
      <c r="A23" s="220" t="s">
        <v>355</v>
      </c>
      <c r="B23" s="225" t="s">
        <v>408</v>
      </c>
      <c r="C23" s="230" t="s">
        <v>259</v>
      </c>
      <c r="D23" s="696">
        <v>12</v>
      </c>
      <c r="E23" s="705">
        <v>2.08</v>
      </c>
      <c r="F23" s="223">
        <v>994</v>
      </c>
      <c r="G23" s="207">
        <f t="shared" si="0"/>
        <v>172.29</v>
      </c>
    </row>
    <row r="24" spans="1:7" s="36" customFormat="1" ht="18" customHeight="1">
      <c r="A24" s="220" t="s">
        <v>356</v>
      </c>
      <c r="B24" s="225" t="s">
        <v>409</v>
      </c>
      <c r="C24" s="230" t="s">
        <v>260</v>
      </c>
      <c r="D24" s="696">
        <v>12</v>
      </c>
      <c r="E24" s="705">
        <v>23.99</v>
      </c>
      <c r="F24" s="223">
        <v>84</v>
      </c>
      <c r="G24" s="207">
        <f t="shared" si="0"/>
        <v>167.93</v>
      </c>
    </row>
    <row r="25" spans="1:7" ht="18" customHeight="1">
      <c r="A25" s="224" t="s">
        <v>357</v>
      </c>
      <c r="B25" s="225" t="s">
        <v>410</v>
      </c>
      <c r="C25" s="230" t="s">
        <v>260</v>
      </c>
      <c r="D25" s="696">
        <v>12</v>
      </c>
      <c r="E25" s="705">
        <v>96.21</v>
      </c>
      <c r="F25" s="223">
        <v>2</v>
      </c>
      <c r="G25" s="207">
        <f t="shared" si="0"/>
        <v>16.04</v>
      </c>
    </row>
    <row r="26" spans="1:7" ht="27" customHeight="1">
      <c r="A26" s="220" t="s">
        <v>358</v>
      </c>
      <c r="B26" s="225" t="s">
        <v>411</v>
      </c>
      <c r="C26" s="230" t="s">
        <v>260</v>
      </c>
      <c r="D26" s="696">
        <v>12</v>
      </c>
      <c r="E26" s="705">
        <v>6.48</v>
      </c>
      <c r="F26" s="223">
        <v>104</v>
      </c>
      <c r="G26" s="207">
        <f t="shared" si="0"/>
        <v>56.16</v>
      </c>
    </row>
    <row r="27" spans="1:7" ht="26.5" customHeight="1">
      <c r="A27" s="220" t="s">
        <v>359</v>
      </c>
      <c r="B27" s="225" t="s">
        <v>412</v>
      </c>
      <c r="C27" s="230" t="s">
        <v>260</v>
      </c>
      <c r="D27" s="696">
        <v>12</v>
      </c>
      <c r="E27" s="705">
        <v>6.98</v>
      </c>
      <c r="F27" s="223">
        <v>102</v>
      </c>
      <c r="G27" s="207">
        <f t="shared" si="0"/>
        <v>59.33</v>
      </c>
    </row>
    <row r="28" spans="1:7" ht="18" customHeight="1">
      <c r="A28" s="224" t="s">
        <v>360</v>
      </c>
      <c r="B28" s="231" t="s">
        <v>413</v>
      </c>
      <c r="C28" s="229" t="s">
        <v>260</v>
      </c>
      <c r="D28" s="696">
        <v>12</v>
      </c>
      <c r="E28" s="705">
        <v>23.24</v>
      </c>
      <c r="F28" s="223">
        <v>62</v>
      </c>
      <c r="G28" s="207">
        <f t="shared" si="0"/>
        <v>120.07</v>
      </c>
    </row>
    <row r="29" spans="1:7" ht="29" customHeight="1">
      <c r="A29" s="220" t="s">
        <v>361</v>
      </c>
      <c r="B29" s="231" t="s">
        <v>414</v>
      </c>
      <c r="C29" s="229" t="s">
        <v>260</v>
      </c>
      <c r="D29" s="696">
        <v>12</v>
      </c>
      <c r="E29" s="705">
        <v>28.34</v>
      </c>
      <c r="F29" s="223">
        <v>10</v>
      </c>
      <c r="G29" s="207">
        <f t="shared" si="0"/>
        <v>23.62</v>
      </c>
    </row>
    <row r="30" spans="1:7" ht="18" customHeight="1">
      <c r="A30" s="220" t="s">
        <v>362</v>
      </c>
      <c r="B30" s="226" t="s">
        <v>415</v>
      </c>
      <c r="C30" s="227" t="s">
        <v>263</v>
      </c>
      <c r="D30" s="696">
        <v>12</v>
      </c>
      <c r="E30" s="705">
        <v>2.19</v>
      </c>
      <c r="F30" s="223">
        <v>194</v>
      </c>
      <c r="G30" s="207">
        <f t="shared" si="0"/>
        <v>35.409999999999997</v>
      </c>
    </row>
    <row r="31" spans="1:7" ht="18" customHeight="1">
      <c r="A31" s="224" t="s">
        <v>363</v>
      </c>
      <c r="B31" s="225" t="s">
        <v>416</v>
      </c>
      <c r="C31" s="222" t="s">
        <v>260</v>
      </c>
      <c r="D31" s="696">
        <v>12</v>
      </c>
      <c r="E31" s="705">
        <v>1.22</v>
      </c>
      <c r="F31" s="223">
        <v>1104</v>
      </c>
      <c r="G31" s="207">
        <f t="shared" si="0"/>
        <v>112.24</v>
      </c>
    </row>
    <row r="32" spans="1:7" ht="17" customHeight="1">
      <c r="A32" s="220" t="s">
        <v>364</v>
      </c>
      <c r="B32" s="231" t="s">
        <v>304</v>
      </c>
      <c r="C32" s="229" t="s">
        <v>260</v>
      </c>
      <c r="D32" s="696">
        <v>12</v>
      </c>
      <c r="E32" s="705">
        <v>5.99</v>
      </c>
      <c r="F32" s="223">
        <v>24</v>
      </c>
      <c r="G32" s="207">
        <f t="shared" si="0"/>
        <v>11.98</v>
      </c>
    </row>
    <row r="33" spans="1:8" ht="27.5" customHeight="1">
      <c r="A33" s="220" t="s">
        <v>365</v>
      </c>
      <c r="B33" s="225" t="s">
        <v>417</v>
      </c>
      <c r="C33" s="222" t="s">
        <v>260</v>
      </c>
      <c r="D33" s="696">
        <v>12</v>
      </c>
      <c r="E33" s="705">
        <v>76.7</v>
      </c>
      <c r="F33" s="223">
        <v>8</v>
      </c>
      <c r="G33" s="207">
        <f t="shared" si="0"/>
        <v>51.13</v>
      </c>
    </row>
    <row r="34" spans="1:8" s="36" customFormat="1" ht="29" customHeight="1">
      <c r="A34" s="224" t="s">
        <v>366</v>
      </c>
      <c r="B34" s="221" t="s">
        <v>261</v>
      </c>
      <c r="C34" s="222" t="s">
        <v>260</v>
      </c>
      <c r="D34" s="696">
        <v>12</v>
      </c>
      <c r="E34" s="705">
        <v>2.42</v>
      </c>
      <c r="F34" s="223">
        <v>810</v>
      </c>
      <c r="G34" s="207">
        <f t="shared" si="0"/>
        <v>163.35</v>
      </c>
      <c r="H34" s="24"/>
    </row>
    <row r="35" spans="1:8" ht="18" customHeight="1">
      <c r="A35" s="220" t="s">
        <v>367</v>
      </c>
      <c r="B35" s="231" t="s">
        <v>418</v>
      </c>
      <c r="C35" s="229" t="s">
        <v>444</v>
      </c>
      <c r="D35" s="696">
        <v>12</v>
      </c>
      <c r="E35" s="705">
        <v>19.309999999999999</v>
      </c>
      <c r="F35" s="223">
        <v>512</v>
      </c>
      <c r="G35" s="207">
        <f t="shared" si="0"/>
        <v>823.89</v>
      </c>
    </row>
    <row r="36" spans="1:8" ht="32.5" customHeight="1">
      <c r="A36" s="220" t="s">
        <v>368</v>
      </c>
      <c r="B36" s="231" t="s">
        <v>419</v>
      </c>
      <c r="C36" s="229" t="s">
        <v>303</v>
      </c>
      <c r="D36" s="696">
        <v>12</v>
      </c>
      <c r="E36" s="705">
        <v>20.92</v>
      </c>
      <c r="F36" s="223">
        <v>370</v>
      </c>
      <c r="G36" s="207">
        <f t="shared" si="0"/>
        <v>645.03</v>
      </c>
    </row>
    <row r="37" spans="1:8" ht="18" customHeight="1">
      <c r="A37" s="224" t="s">
        <v>369</v>
      </c>
      <c r="B37" s="231" t="s">
        <v>420</v>
      </c>
      <c r="C37" s="229" t="s">
        <v>260</v>
      </c>
      <c r="D37" s="696">
        <v>12</v>
      </c>
      <c r="E37" s="705">
        <v>38.68</v>
      </c>
      <c r="F37" s="223">
        <v>36</v>
      </c>
      <c r="G37" s="207">
        <f t="shared" si="0"/>
        <v>116.04</v>
      </c>
      <c r="H37" s="24"/>
    </row>
    <row r="38" spans="1:8" s="36" customFormat="1" ht="18" customHeight="1">
      <c r="A38" s="220" t="s">
        <v>370</v>
      </c>
      <c r="B38" s="225" t="s">
        <v>421</v>
      </c>
      <c r="C38" s="230" t="s">
        <v>445</v>
      </c>
      <c r="D38" s="696">
        <v>12</v>
      </c>
      <c r="E38" s="705">
        <v>21.64</v>
      </c>
      <c r="F38" s="223">
        <v>249</v>
      </c>
      <c r="G38" s="207">
        <f t="shared" si="0"/>
        <v>449.03</v>
      </c>
      <c r="H38" s="24"/>
    </row>
    <row r="39" spans="1:8" s="36" customFormat="1" ht="29.5" customHeight="1">
      <c r="A39" s="220" t="s">
        <v>371</v>
      </c>
      <c r="B39" s="225" t="s">
        <v>422</v>
      </c>
      <c r="C39" s="222" t="s">
        <v>259</v>
      </c>
      <c r="D39" s="696">
        <v>12</v>
      </c>
      <c r="E39" s="705">
        <v>3.37</v>
      </c>
      <c r="F39" s="223">
        <v>797</v>
      </c>
      <c r="G39" s="207">
        <f t="shared" si="0"/>
        <v>223.82</v>
      </c>
      <c r="H39" s="24"/>
    </row>
    <row r="40" spans="1:8" s="36" customFormat="1" ht="26.5" customHeight="1">
      <c r="A40" s="224" t="s">
        <v>372</v>
      </c>
      <c r="B40" s="231" t="s">
        <v>523</v>
      </c>
      <c r="C40" s="229" t="s">
        <v>260</v>
      </c>
      <c r="D40" s="696">
        <v>12</v>
      </c>
      <c r="E40" s="705">
        <v>22.9</v>
      </c>
      <c r="F40" s="223">
        <v>212</v>
      </c>
      <c r="G40" s="207">
        <f t="shared" si="0"/>
        <v>404.57</v>
      </c>
    </row>
    <row r="41" spans="1:8" ht="26.5" customHeight="1">
      <c r="A41" s="220" t="s">
        <v>373</v>
      </c>
      <c r="B41" s="226" t="s">
        <v>524</v>
      </c>
      <c r="C41" s="227" t="s">
        <v>260</v>
      </c>
      <c r="D41" s="696">
        <v>12</v>
      </c>
      <c r="E41" s="705">
        <v>16.23</v>
      </c>
      <c r="F41" s="223">
        <v>222</v>
      </c>
      <c r="G41" s="207">
        <f t="shared" si="0"/>
        <v>300.26</v>
      </c>
    </row>
    <row r="42" spans="1:8" ht="28.5" customHeight="1">
      <c r="A42" s="220" t="s">
        <v>374</v>
      </c>
      <c r="B42" s="226" t="s">
        <v>525</v>
      </c>
      <c r="C42" s="227" t="s">
        <v>260</v>
      </c>
      <c r="D42" s="696">
        <v>12</v>
      </c>
      <c r="E42" s="705">
        <v>32.11</v>
      </c>
      <c r="F42" s="223">
        <v>19</v>
      </c>
      <c r="G42" s="207">
        <f t="shared" si="0"/>
        <v>50.84</v>
      </c>
    </row>
    <row r="43" spans="1:8" ht="28.5" customHeight="1">
      <c r="A43" s="224" t="s">
        <v>375</v>
      </c>
      <c r="B43" s="226" t="s">
        <v>526</v>
      </c>
      <c r="C43" s="227" t="s">
        <v>260</v>
      </c>
      <c r="D43" s="696">
        <v>12</v>
      </c>
      <c r="E43" s="705">
        <v>85.33</v>
      </c>
      <c r="F43" s="223">
        <v>14</v>
      </c>
      <c r="G43" s="207">
        <f t="shared" si="0"/>
        <v>99.55</v>
      </c>
    </row>
    <row r="44" spans="1:8" ht="18" customHeight="1">
      <c r="A44" s="220" t="s">
        <v>376</v>
      </c>
      <c r="B44" s="231" t="s">
        <v>423</v>
      </c>
      <c r="C44" s="229" t="s">
        <v>301</v>
      </c>
      <c r="D44" s="696">
        <v>12</v>
      </c>
      <c r="E44" s="705">
        <v>10</v>
      </c>
      <c r="F44" s="223">
        <v>96</v>
      </c>
      <c r="G44" s="207">
        <f t="shared" si="0"/>
        <v>80</v>
      </c>
    </row>
    <row r="45" spans="1:8" ht="18" customHeight="1">
      <c r="A45" s="220" t="s">
        <v>377</v>
      </c>
      <c r="B45" s="221" t="s">
        <v>424</v>
      </c>
      <c r="C45" s="222" t="s">
        <v>262</v>
      </c>
      <c r="D45" s="696">
        <v>12</v>
      </c>
      <c r="E45" s="705">
        <v>4.16</v>
      </c>
      <c r="F45" s="223">
        <v>622</v>
      </c>
      <c r="G45" s="207">
        <f t="shared" si="0"/>
        <v>215.63</v>
      </c>
    </row>
    <row r="46" spans="1:8" s="36" customFormat="1" ht="18" customHeight="1">
      <c r="A46" s="224" t="s">
        <v>378</v>
      </c>
      <c r="B46" s="232" t="s">
        <v>425</v>
      </c>
      <c r="C46" s="230" t="s">
        <v>260</v>
      </c>
      <c r="D46" s="696">
        <v>12</v>
      </c>
      <c r="E46" s="705">
        <v>13.39</v>
      </c>
      <c r="F46" s="223">
        <v>81</v>
      </c>
      <c r="G46" s="207">
        <f t="shared" si="0"/>
        <v>90.38</v>
      </c>
    </row>
    <row r="47" spans="1:8" ht="40" customHeight="1">
      <c r="A47" s="220" t="s">
        <v>379</v>
      </c>
      <c r="B47" s="225" t="s">
        <v>426</v>
      </c>
      <c r="C47" s="230" t="s">
        <v>260</v>
      </c>
      <c r="D47" s="696">
        <v>12</v>
      </c>
      <c r="E47" s="705">
        <v>5.68</v>
      </c>
      <c r="F47" s="223">
        <v>1276</v>
      </c>
      <c r="G47" s="207">
        <f t="shared" si="0"/>
        <v>603.97</v>
      </c>
    </row>
    <row r="48" spans="1:8" ht="43.5" customHeight="1">
      <c r="A48" s="220" t="s">
        <v>380</v>
      </c>
      <c r="B48" s="225" t="s">
        <v>427</v>
      </c>
      <c r="C48" s="230" t="s">
        <v>260</v>
      </c>
      <c r="D48" s="696">
        <v>12</v>
      </c>
      <c r="E48" s="705">
        <v>3.22</v>
      </c>
      <c r="F48" s="223">
        <v>156</v>
      </c>
      <c r="G48" s="207">
        <f t="shared" si="0"/>
        <v>41.86</v>
      </c>
    </row>
    <row r="49" spans="1:8" ht="18" customHeight="1">
      <c r="A49" s="224" t="s">
        <v>381</v>
      </c>
      <c r="B49" s="225" t="s">
        <v>428</v>
      </c>
      <c r="C49" s="230" t="s">
        <v>446</v>
      </c>
      <c r="D49" s="696">
        <v>12</v>
      </c>
      <c r="E49" s="705">
        <v>101.49</v>
      </c>
      <c r="F49" s="223">
        <v>70</v>
      </c>
      <c r="G49" s="207">
        <f t="shared" si="0"/>
        <v>592.03</v>
      </c>
    </row>
    <row r="50" spans="1:8" ht="30" customHeight="1">
      <c r="A50" s="220" t="s">
        <v>382</v>
      </c>
      <c r="B50" s="233" t="s">
        <v>429</v>
      </c>
      <c r="C50" s="234" t="s">
        <v>264</v>
      </c>
      <c r="D50" s="696">
        <v>12</v>
      </c>
      <c r="E50" s="705">
        <v>20.7</v>
      </c>
      <c r="F50" s="223">
        <v>916</v>
      </c>
      <c r="G50" s="207">
        <f t="shared" si="0"/>
        <v>1580.1</v>
      </c>
    </row>
    <row r="51" spans="1:8" ht="30" customHeight="1">
      <c r="A51" s="220" t="s">
        <v>383</v>
      </c>
      <c r="B51" s="225" t="s">
        <v>430</v>
      </c>
      <c r="C51" s="222" t="s">
        <v>263</v>
      </c>
      <c r="D51" s="696">
        <v>12</v>
      </c>
      <c r="E51" s="705">
        <v>97.51</v>
      </c>
      <c r="F51" s="223">
        <v>504</v>
      </c>
      <c r="G51" s="207">
        <f t="shared" si="0"/>
        <v>4095.42</v>
      </c>
    </row>
    <row r="52" spans="1:8" ht="30" customHeight="1">
      <c r="A52" s="224" t="s">
        <v>384</v>
      </c>
      <c r="B52" s="225" t="s">
        <v>431</v>
      </c>
      <c r="C52" s="235" t="s">
        <v>300</v>
      </c>
      <c r="D52" s="696">
        <v>12</v>
      </c>
      <c r="E52" s="705">
        <v>28.07</v>
      </c>
      <c r="F52" s="223">
        <v>2170</v>
      </c>
      <c r="G52" s="207">
        <f t="shared" si="0"/>
        <v>5075.99</v>
      </c>
    </row>
    <row r="53" spans="1:8" ht="18" customHeight="1">
      <c r="A53" s="220" t="s">
        <v>385</v>
      </c>
      <c r="B53" s="231" t="s">
        <v>432</v>
      </c>
      <c r="C53" s="229" t="s">
        <v>302</v>
      </c>
      <c r="D53" s="696">
        <v>12</v>
      </c>
      <c r="E53" s="705">
        <v>20.88</v>
      </c>
      <c r="F53" s="223">
        <v>24</v>
      </c>
      <c r="G53" s="207">
        <f t="shared" si="0"/>
        <v>41.76</v>
      </c>
    </row>
    <row r="54" spans="1:8" s="36" customFormat="1" ht="18" customHeight="1">
      <c r="A54" s="220" t="s">
        <v>386</v>
      </c>
      <c r="B54" s="225" t="s">
        <v>433</v>
      </c>
      <c r="C54" s="229" t="s">
        <v>447</v>
      </c>
      <c r="D54" s="696">
        <v>12</v>
      </c>
      <c r="E54" s="705">
        <v>38.68</v>
      </c>
      <c r="F54" s="223">
        <v>12</v>
      </c>
      <c r="G54" s="207">
        <f t="shared" si="0"/>
        <v>38.68</v>
      </c>
    </row>
    <row r="55" spans="1:8" s="36" customFormat="1" ht="18" customHeight="1">
      <c r="A55" s="224" t="s">
        <v>387</v>
      </c>
      <c r="B55" s="231" t="s">
        <v>434</v>
      </c>
      <c r="C55" s="229" t="s">
        <v>260</v>
      </c>
      <c r="D55" s="696">
        <v>12</v>
      </c>
      <c r="E55" s="705">
        <v>21.32</v>
      </c>
      <c r="F55" s="223">
        <v>40</v>
      </c>
      <c r="G55" s="207">
        <f t="shared" si="0"/>
        <v>71.069999999999993</v>
      </c>
    </row>
    <row r="56" spans="1:8" s="36" customFormat="1" ht="18" customHeight="1">
      <c r="A56" s="220" t="s">
        <v>388</v>
      </c>
      <c r="B56" s="231" t="s">
        <v>527</v>
      </c>
      <c r="C56" s="229" t="s">
        <v>257</v>
      </c>
      <c r="D56" s="696">
        <v>12</v>
      </c>
      <c r="E56" s="705">
        <v>48.17</v>
      </c>
      <c r="F56" s="223">
        <v>12</v>
      </c>
      <c r="G56" s="207">
        <f t="shared" si="0"/>
        <v>48.17</v>
      </c>
    </row>
    <row r="57" spans="1:8" s="36" customFormat="1" ht="18" customHeight="1">
      <c r="A57" s="220" t="s">
        <v>389</v>
      </c>
      <c r="B57" s="221" t="s">
        <v>435</v>
      </c>
      <c r="C57" s="222" t="s">
        <v>260</v>
      </c>
      <c r="D57" s="696">
        <v>12</v>
      </c>
      <c r="E57" s="705">
        <v>4.4800000000000004</v>
      </c>
      <c r="F57" s="223">
        <v>47</v>
      </c>
      <c r="G57" s="207">
        <f t="shared" si="0"/>
        <v>17.55</v>
      </c>
    </row>
    <row r="58" spans="1:8" s="36" customFormat="1" ht="18" customHeight="1">
      <c r="A58" s="224" t="s">
        <v>390</v>
      </c>
      <c r="B58" s="231" t="s">
        <v>436</v>
      </c>
      <c r="C58" s="229" t="s">
        <v>260</v>
      </c>
      <c r="D58" s="696">
        <v>12</v>
      </c>
      <c r="E58" s="705">
        <v>23.04</v>
      </c>
      <c r="F58" s="223">
        <v>102</v>
      </c>
      <c r="G58" s="207">
        <f t="shared" si="0"/>
        <v>195.84</v>
      </c>
    </row>
    <row r="59" spans="1:8" s="36" customFormat="1" ht="18" customHeight="1">
      <c r="A59" s="718" t="s">
        <v>391</v>
      </c>
      <c r="B59" s="225" t="s">
        <v>437</v>
      </c>
      <c r="C59" s="222" t="s">
        <v>260</v>
      </c>
      <c r="D59" s="696">
        <v>12</v>
      </c>
      <c r="E59" s="705">
        <v>44.82</v>
      </c>
      <c r="F59" s="223">
        <v>21</v>
      </c>
      <c r="G59" s="207">
        <f t="shared" si="0"/>
        <v>78.44</v>
      </c>
      <c r="H59" s="24"/>
    </row>
    <row r="60" spans="1:8" s="36" customFormat="1" ht="18" customHeight="1">
      <c r="A60" s="220" t="s">
        <v>392</v>
      </c>
      <c r="B60" s="221" t="s">
        <v>265</v>
      </c>
      <c r="C60" s="222" t="s">
        <v>266</v>
      </c>
      <c r="D60" s="696">
        <v>12</v>
      </c>
      <c r="E60" s="705">
        <v>3.94</v>
      </c>
      <c r="F60" s="223">
        <v>484</v>
      </c>
      <c r="G60" s="207">
        <f t="shared" si="0"/>
        <v>158.91</v>
      </c>
      <c r="H60" s="24"/>
    </row>
    <row r="61" spans="1:8" s="36" customFormat="1" ht="18" customHeight="1">
      <c r="A61" s="224" t="s">
        <v>393</v>
      </c>
      <c r="B61" s="225" t="s">
        <v>438</v>
      </c>
      <c r="C61" s="222" t="s">
        <v>257</v>
      </c>
      <c r="D61" s="696">
        <v>12</v>
      </c>
      <c r="E61" s="705">
        <v>15.69</v>
      </c>
      <c r="F61" s="223">
        <v>306</v>
      </c>
      <c r="G61" s="207">
        <f t="shared" si="0"/>
        <v>400.1</v>
      </c>
      <c r="H61" s="24"/>
    </row>
    <row r="62" spans="1:8" s="36" customFormat="1" ht="29" customHeight="1">
      <c r="A62" s="220" t="s">
        <v>394</v>
      </c>
      <c r="B62" s="236" t="s">
        <v>528</v>
      </c>
      <c r="C62" s="222" t="s">
        <v>448</v>
      </c>
      <c r="D62" s="696">
        <v>12</v>
      </c>
      <c r="E62" s="705">
        <f>AVERAGE(19.99,12.4,14.95)</f>
        <v>15.78</v>
      </c>
      <c r="F62" s="223">
        <v>108</v>
      </c>
      <c r="G62" s="207">
        <f t="shared" si="0"/>
        <v>142.02000000000001</v>
      </c>
      <c r="H62" s="24"/>
    </row>
    <row r="63" spans="1:8" s="36" customFormat="1" ht="29" customHeight="1">
      <c r="A63" s="220" t="s">
        <v>395</v>
      </c>
      <c r="B63" s="236" t="s">
        <v>529</v>
      </c>
      <c r="C63" s="222" t="s">
        <v>448</v>
      </c>
      <c r="D63" s="696">
        <v>12</v>
      </c>
      <c r="E63" s="705">
        <f>AVERAGE(26.04,23.89,23.75)</f>
        <v>24.56</v>
      </c>
      <c r="F63" s="223">
        <v>60</v>
      </c>
      <c r="G63" s="207">
        <f t="shared" si="0"/>
        <v>122.8</v>
      </c>
      <c r="H63" s="24"/>
    </row>
    <row r="64" spans="1:8" s="36" customFormat="1" ht="29" customHeight="1">
      <c r="A64" s="224" t="s">
        <v>396</v>
      </c>
      <c r="B64" s="236" t="s">
        <v>530</v>
      </c>
      <c r="C64" s="222" t="s">
        <v>448</v>
      </c>
      <c r="D64" s="696">
        <v>12</v>
      </c>
      <c r="E64" s="705">
        <f>AVERAGE(25.9,29.9,28.75)</f>
        <v>28.18</v>
      </c>
      <c r="F64" s="223">
        <v>156</v>
      </c>
      <c r="G64" s="207">
        <f t="shared" si="0"/>
        <v>366.34</v>
      </c>
      <c r="H64" s="24"/>
    </row>
    <row r="65" spans="1:9" s="36" customFormat="1" ht="29" customHeight="1">
      <c r="A65" s="220" t="s">
        <v>397</v>
      </c>
      <c r="B65" s="225" t="s">
        <v>531</v>
      </c>
      <c r="C65" s="222" t="s">
        <v>448</v>
      </c>
      <c r="D65" s="696">
        <v>12</v>
      </c>
      <c r="E65" s="705">
        <v>34.74</v>
      </c>
      <c r="F65" s="223">
        <v>242</v>
      </c>
      <c r="G65" s="207">
        <f t="shared" si="0"/>
        <v>700.59</v>
      </c>
      <c r="H65" s="24"/>
    </row>
    <row r="66" spans="1:9" s="36" customFormat="1" ht="29" customHeight="1">
      <c r="A66" s="220" t="s">
        <v>398</v>
      </c>
      <c r="B66" s="225" t="s">
        <v>532</v>
      </c>
      <c r="C66" s="222" t="s">
        <v>448</v>
      </c>
      <c r="D66" s="696">
        <v>12</v>
      </c>
      <c r="E66" s="705">
        <v>40.159999999999997</v>
      </c>
      <c r="F66" s="223">
        <v>59</v>
      </c>
      <c r="G66" s="207">
        <f t="shared" si="0"/>
        <v>197.45</v>
      </c>
      <c r="H66" s="24"/>
    </row>
    <row r="67" spans="1:9" ht="29" customHeight="1">
      <c r="A67" s="719" t="s">
        <v>533</v>
      </c>
      <c r="B67" s="236" t="s">
        <v>534</v>
      </c>
      <c r="C67" s="222" t="s">
        <v>448</v>
      </c>
      <c r="D67" s="696">
        <v>12</v>
      </c>
      <c r="E67" s="705">
        <v>60.07</v>
      </c>
      <c r="F67" s="223">
        <v>132</v>
      </c>
      <c r="G67" s="207">
        <f t="shared" si="0"/>
        <v>660.77</v>
      </c>
    </row>
    <row r="68" spans="1:9" ht="18" customHeight="1">
      <c r="A68" s="696" t="s">
        <v>535</v>
      </c>
      <c r="B68" s="720" t="s">
        <v>267</v>
      </c>
      <c r="C68" s="222" t="s">
        <v>268</v>
      </c>
      <c r="D68" s="696">
        <v>12</v>
      </c>
      <c r="E68" s="705">
        <v>3.83</v>
      </c>
      <c r="F68" s="223">
        <v>471</v>
      </c>
      <c r="G68" s="207">
        <f t="shared" si="0"/>
        <v>150.33000000000001</v>
      </c>
    </row>
    <row r="69" spans="1:9" s="36" customFormat="1" ht="18" customHeight="1">
      <c r="A69" s="696" t="s">
        <v>536</v>
      </c>
      <c r="B69" s="721" t="s">
        <v>439</v>
      </c>
      <c r="C69" s="229" t="s">
        <v>445</v>
      </c>
      <c r="D69" s="696">
        <v>12</v>
      </c>
      <c r="E69" s="705">
        <v>38.68</v>
      </c>
      <c r="F69" s="223">
        <v>17</v>
      </c>
      <c r="G69" s="207">
        <f t="shared" si="0"/>
        <v>54.8</v>
      </c>
    </row>
    <row r="70" spans="1:9" ht="18" customHeight="1">
      <c r="A70" s="696" t="s">
        <v>537</v>
      </c>
      <c r="B70" s="721" t="s">
        <v>440</v>
      </c>
      <c r="C70" s="229" t="s">
        <v>260</v>
      </c>
      <c r="D70" s="696">
        <v>12</v>
      </c>
      <c r="E70" s="705">
        <v>29.95</v>
      </c>
      <c r="F70" s="223">
        <v>12</v>
      </c>
      <c r="G70" s="207">
        <f t="shared" si="0"/>
        <v>29.95</v>
      </c>
    </row>
    <row r="71" spans="1:9" s="36" customFormat="1" ht="18" customHeight="1">
      <c r="A71" s="696" t="s">
        <v>538</v>
      </c>
      <c r="B71" s="720" t="s">
        <v>441</v>
      </c>
      <c r="C71" s="230" t="s">
        <v>260</v>
      </c>
      <c r="D71" s="696">
        <v>12</v>
      </c>
      <c r="E71" s="705">
        <v>16.059999999999999</v>
      </c>
      <c r="F71" s="223">
        <v>26</v>
      </c>
      <c r="G71" s="207">
        <f t="shared" si="0"/>
        <v>34.799999999999997</v>
      </c>
    </row>
    <row r="72" spans="1:9" s="36" customFormat="1" ht="18" customHeight="1">
      <c r="A72" s="696" t="s">
        <v>539</v>
      </c>
      <c r="B72" s="720" t="s">
        <v>442</v>
      </c>
      <c r="C72" s="228" t="s">
        <v>260</v>
      </c>
      <c r="D72" s="696">
        <v>12</v>
      </c>
      <c r="E72" s="705">
        <v>16.579999999999998</v>
      </c>
      <c r="F72" s="223">
        <v>61</v>
      </c>
      <c r="G72" s="207">
        <f t="shared" si="0"/>
        <v>84.28</v>
      </c>
    </row>
    <row r="73" spans="1:9" s="36" customFormat="1" ht="18" customHeight="1">
      <c r="A73" s="696" t="s">
        <v>540</v>
      </c>
      <c r="B73" s="720" t="s">
        <v>443</v>
      </c>
      <c r="C73" s="230" t="s">
        <v>260</v>
      </c>
      <c r="D73" s="696">
        <v>12</v>
      </c>
      <c r="E73" s="705">
        <v>11.54</v>
      </c>
      <c r="F73" s="223">
        <v>110</v>
      </c>
      <c r="G73" s="207">
        <f t="shared" si="0"/>
        <v>105.78</v>
      </c>
    </row>
    <row r="74" spans="1:9" s="36" customFormat="1" ht="5" customHeight="1"/>
    <row r="75" spans="1:9" s="182" customFormat="1" ht="21.5" customHeight="1">
      <c r="A75" s="791" t="s">
        <v>270</v>
      </c>
      <c r="B75" s="791"/>
      <c r="C75" s="791"/>
      <c r="D75" s="791"/>
      <c r="E75" s="791"/>
      <c r="F75" s="791"/>
      <c r="G75" s="216">
        <f>ROUND(SUM(G11:G73),2)</f>
        <v>25973.72</v>
      </c>
      <c r="I75" s="217"/>
    </row>
    <row r="76" spans="1:9" s="36" customFormat="1" ht="5" customHeight="1"/>
    <row r="77" spans="1:9" s="36" customFormat="1" ht="18" customHeight="1">
      <c r="A77" s="799" t="s">
        <v>305</v>
      </c>
      <c r="B77" s="799"/>
      <c r="C77" s="799"/>
      <c r="D77" s="799"/>
      <c r="E77" s="799"/>
      <c r="F77" s="799"/>
      <c r="G77" s="219">
        <f>ROUND(SUM('Área - Produt - Servente'!G22,'Área - Produt - Servente'!K22,'Área - Produt - Servente'!O22,'Área - Produt - Servente'!S22,'Área - Produt - Servente'!G39,'Área - Produt - Servente'!K39,'Área - Produt - Servente'!O39,'Área - Produt - Servente'!S39,'Área - Produt - Servente'!G52,'Área - Produt - Servente'!G63,'Área - Produt - Servente'!G79,'Área - Produt - Servente'!G92),2)</f>
        <v>29</v>
      </c>
    </row>
    <row r="78" spans="1:9" s="36" customFormat="1" ht="4.5" customHeight="1"/>
    <row r="79" spans="1:9" s="182" customFormat="1" ht="21.65" customHeight="1">
      <c r="A79" s="806" t="s">
        <v>271</v>
      </c>
      <c r="B79" s="806"/>
      <c r="C79" s="806"/>
      <c r="D79" s="806"/>
      <c r="E79" s="806"/>
      <c r="F79" s="806"/>
      <c r="G79" s="666">
        <f>ROUND(G75/G77,2)</f>
        <v>895.65</v>
      </c>
      <c r="H79" s="218"/>
    </row>
    <row r="80" spans="1:9" s="36" customFormat="1"/>
    <row r="81" s="36" customFormat="1"/>
  </sheetData>
  <mergeCells count="8">
    <mergeCell ref="A1:G1"/>
    <mergeCell ref="A75:F75"/>
    <mergeCell ref="A77:F77"/>
    <mergeCell ref="A79:F79"/>
    <mergeCell ref="A8:G8"/>
    <mergeCell ref="A6:G6"/>
    <mergeCell ref="A4:F4"/>
    <mergeCell ref="A2:G2"/>
  </mergeCells>
  <pageMargins left="0.9055118110236221" right="0.51181102362204722" top="0.59055118110236227" bottom="0.78740157480314965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BEA5-C938-4478-9F14-9F4BCBA27626}">
  <dimension ref="A1:BA26"/>
  <sheetViews>
    <sheetView showGridLines="0" topLeftCell="A13" zoomScale="85" zoomScaleNormal="85" workbookViewId="0">
      <selection activeCell="J17" sqref="J17"/>
    </sheetView>
  </sheetViews>
  <sheetFormatPr defaultRowHeight="14.5"/>
  <cols>
    <col min="1" max="1" width="7.26953125" customWidth="1"/>
    <col min="2" max="2" width="38.1796875" customWidth="1"/>
    <col min="3" max="4" width="16.26953125" customWidth="1"/>
    <col min="5" max="5" width="12.6328125" customWidth="1"/>
    <col min="6" max="6" width="16.26953125" customWidth="1"/>
    <col min="7" max="7" width="20.6328125" customWidth="1"/>
  </cols>
  <sheetData>
    <row r="1" spans="1:53" s="182" customFormat="1" ht="22.5" customHeight="1">
      <c r="A1" s="803" t="s">
        <v>0</v>
      </c>
      <c r="B1" s="804"/>
      <c r="C1" s="804"/>
      <c r="D1" s="804"/>
      <c r="E1" s="804"/>
      <c r="F1" s="804"/>
      <c r="G1" s="805"/>
    </row>
    <row r="2" spans="1:53" s="2" customFormat="1" ht="32.15" customHeight="1">
      <c r="A2" s="813" t="str">
        <f>'Benefícios e Outros Dados'!A2</f>
        <v>Contratação de serviços de limpeza asseio e conservação, com fornecimento de material, utensílios e equipamentos, para as unidades do município do Rio de Janeiro</v>
      </c>
      <c r="B2" s="814"/>
      <c r="C2" s="814"/>
      <c r="D2" s="814"/>
      <c r="E2" s="814"/>
      <c r="F2" s="814"/>
      <c r="G2" s="815"/>
    </row>
    <row r="3" spans="1:53" s="2" customFormat="1" ht="6" customHeight="1">
      <c r="B3" s="37"/>
      <c r="C3" s="37"/>
      <c r="D3" s="37"/>
      <c r="E3" s="37"/>
      <c r="F3" s="37"/>
      <c r="G3" s="178"/>
    </row>
    <row r="4" spans="1:53" s="2" customFormat="1" ht="19.5" customHeight="1">
      <c r="A4" s="764" t="s">
        <v>1</v>
      </c>
      <c r="B4" s="765"/>
      <c r="C4" s="765"/>
      <c r="D4" s="765"/>
      <c r="E4" s="765"/>
      <c r="F4" s="766"/>
      <c r="G4" s="201" t="str">
        <f>CCT!J4</f>
        <v>10707.720194-2025-26</v>
      </c>
    </row>
    <row r="5" spans="1:53" s="2" customFormat="1" ht="9" customHeight="1"/>
    <row r="6" spans="1:53" s="2" customFormat="1" ht="19.5" customHeight="1">
      <c r="A6" s="810" t="s">
        <v>340</v>
      </c>
      <c r="B6" s="811"/>
      <c r="C6" s="811"/>
      <c r="D6" s="811"/>
      <c r="E6" s="811"/>
      <c r="F6" s="811"/>
      <c r="G6" s="812"/>
    </row>
    <row r="7" spans="1:53" s="36" customFormat="1" ht="11.15" customHeight="1">
      <c r="B7" s="159"/>
      <c r="C7" s="159"/>
      <c r="D7" s="159"/>
      <c r="E7" s="159"/>
      <c r="F7" s="159"/>
      <c r="G7" s="159"/>
    </row>
    <row r="8" spans="1:53" s="182" customFormat="1" ht="22" customHeight="1">
      <c r="A8" s="807" t="s">
        <v>306</v>
      </c>
      <c r="B8" s="808"/>
      <c r="C8" s="808"/>
      <c r="D8" s="808"/>
      <c r="E8" s="808"/>
      <c r="F8" s="808"/>
      <c r="G8" s="809"/>
      <c r="H8" s="185"/>
      <c r="M8" s="213"/>
      <c r="N8" s="214"/>
      <c r="O8" s="215"/>
    </row>
    <row r="10" spans="1:53" s="36" customFormat="1" ht="39.75" customHeight="1">
      <c r="A10" s="682" t="s">
        <v>36</v>
      </c>
      <c r="B10" s="683" t="s">
        <v>342</v>
      </c>
      <c r="C10" s="684" t="s">
        <v>167</v>
      </c>
      <c r="D10" s="682" t="s">
        <v>38</v>
      </c>
      <c r="E10" s="682" t="s">
        <v>37</v>
      </c>
      <c r="F10" s="682" t="s">
        <v>307</v>
      </c>
      <c r="G10" s="682" t="s">
        <v>308</v>
      </c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</row>
    <row r="11" spans="1:53" ht="19" customHeight="1">
      <c r="A11" s="220" t="s">
        <v>449</v>
      </c>
      <c r="B11" s="225" t="s">
        <v>450</v>
      </c>
      <c r="C11" s="230" t="s">
        <v>260</v>
      </c>
      <c r="D11" s="237">
        <v>30</v>
      </c>
      <c r="E11" s="706">
        <v>83.96</v>
      </c>
      <c r="F11" s="191">
        <v>22</v>
      </c>
      <c r="G11" s="238">
        <f>ROUND((E11*F11)/D11,2)</f>
        <v>61.57</v>
      </c>
    </row>
    <row r="12" spans="1:53" ht="19" customHeight="1">
      <c r="A12" s="220" t="s">
        <v>451</v>
      </c>
      <c r="B12" s="231" t="s">
        <v>452</v>
      </c>
      <c r="C12" s="222" t="s">
        <v>260</v>
      </c>
      <c r="D12" s="237">
        <v>60</v>
      </c>
      <c r="E12" s="706">
        <v>26.37</v>
      </c>
      <c r="F12" s="191">
        <v>8</v>
      </c>
      <c r="G12" s="238">
        <f t="shared" ref="G12:G20" si="0">ROUND((E12*F12)/D12,2)</f>
        <v>3.52</v>
      </c>
    </row>
    <row r="13" spans="1:53" ht="29" customHeight="1">
      <c r="A13" s="220" t="s">
        <v>453</v>
      </c>
      <c r="B13" s="231" t="s">
        <v>454</v>
      </c>
      <c r="C13" s="239" t="s">
        <v>260</v>
      </c>
      <c r="D13" s="237">
        <v>60</v>
      </c>
      <c r="E13" s="706">
        <v>40.07</v>
      </c>
      <c r="F13" s="191">
        <v>82</v>
      </c>
      <c r="G13" s="238">
        <f t="shared" si="0"/>
        <v>54.76</v>
      </c>
    </row>
    <row r="14" spans="1:53" ht="29" customHeight="1">
      <c r="A14" s="220" t="s">
        <v>455</v>
      </c>
      <c r="B14" s="231" t="s">
        <v>456</v>
      </c>
      <c r="C14" s="239" t="s">
        <v>260</v>
      </c>
      <c r="D14" s="237">
        <v>60</v>
      </c>
      <c r="E14" s="706">
        <v>45.64</v>
      </c>
      <c r="F14" s="191">
        <v>64</v>
      </c>
      <c r="G14" s="238">
        <f t="shared" si="0"/>
        <v>48.68</v>
      </c>
    </row>
    <row r="15" spans="1:53" ht="19" customHeight="1">
      <c r="A15" s="220" t="s">
        <v>457</v>
      </c>
      <c r="B15" s="240" t="s">
        <v>458</v>
      </c>
      <c r="C15" s="239" t="s">
        <v>260</v>
      </c>
      <c r="D15" s="237">
        <v>60</v>
      </c>
      <c r="E15" s="706">
        <v>24.91</v>
      </c>
      <c r="F15" s="191">
        <v>58</v>
      </c>
      <c r="G15" s="238">
        <f t="shared" si="0"/>
        <v>24.08</v>
      </c>
    </row>
    <row r="16" spans="1:53" ht="19" customHeight="1">
      <c r="A16" s="220" t="s">
        <v>459</v>
      </c>
      <c r="B16" s="231" t="s">
        <v>460</v>
      </c>
      <c r="C16" s="239" t="s">
        <v>260</v>
      </c>
      <c r="D16" s="237">
        <v>60</v>
      </c>
      <c r="E16" s="706">
        <v>218.3</v>
      </c>
      <c r="F16" s="191">
        <v>11</v>
      </c>
      <c r="G16" s="238">
        <f t="shared" si="0"/>
        <v>40.020000000000003</v>
      </c>
    </row>
    <row r="17" spans="1:8" ht="19" customHeight="1">
      <c r="A17" s="220" t="s">
        <v>461</v>
      </c>
      <c r="B17" s="231" t="s">
        <v>462</v>
      </c>
      <c r="C17" s="239" t="s">
        <v>260</v>
      </c>
      <c r="D17" s="237">
        <v>60</v>
      </c>
      <c r="E17" s="706">
        <v>2350.09</v>
      </c>
      <c r="F17" s="191">
        <v>9</v>
      </c>
      <c r="G17" s="238">
        <f t="shared" si="0"/>
        <v>352.51</v>
      </c>
    </row>
    <row r="18" spans="1:8" ht="19" customHeight="1">
      <c r="A18" s="220" t="s">
        <v>463</v>
      </c>
      <c r="B18" s="231" t="s">
        <v>464</v>
      </c>
      <c r="C18" s="239" t="s">
        <v>260</v>
      </c>
      <c r="D18" s="237">
        <v>60</v>
      </c>
      <c r="E18" s="706">
        <v>552.42999999999995</v>
      </c>
      <c r="F18" s="191">
        <v>9</v>
      </c>
      <c r="G18" s="238">
        <f t="shared" si="0"/>
        <v>82.86</v>
      </c>
    </row>
    <row r="19" spans="1:8" ht="19" customHeight="1">
      <c r="A19" s="220" t="s">
        <v>465</v>
      </c>
      <c r="B19" s="231" t="s">
        <v>466</v>
      </c>
      <c r="C19" s="222" t="s">
        <v>260</v>
      </c>
      <c r="D19" s="237">
        <v>60</v>
      </c>
      <c r="E19" s="706">
        <v>189.38</v>
      </c>
      <c r="F19" s="191">
        <v>8</v>
      </c>
      <c r="G19" s="238">
        <f t="shared" si="0"/>
        <v>25.25</v>
      </c>
    </row>
    <row r="20" spans="1:8" ht="19" customHeight="1">
      <c r="A20" s="220" t="s">
        <v>467</v>
      </c>
      <c r="B20" s="231" t="s">
        <v>468</v>
      </c>
      <c r="C20" s="239" t="s">
        <v>260</v>
      </c>
      <c r="D20" s="237">
        <v>30</v>
      </c>
      <c r="E20" s="706">
        <v>1239.06</v>
      </c>
      <c r="F20" s="191">
        <v>25</v>
      </c>
      <c r="G20" s="238">
        <f t="shared" si="0"/>
        <v>1032.55</v>
      </c>
    </row>
    <row r="21" spans="1:8" s="36" customFormat="1" ht="6" customHeight="1"/>
    <row r="22" spans="1:8" s="182" customFormat="1" ht="22" customHeight="1">
      <c r="A22" s="791" t="s">
        <v>309</v>
      </c>
      <c r="B22" s="791"/>
      <c r="C22" s="791"/>
      <c r="D22" s="791"/>
      <c r="E22" s="791"/>
      <c r="F22" s="791"/>
      <c r="G22" s="216">
        <f>ROUND(SUM(G11:G20),2)</f>
        <v>1725.8</v>
      </c>
    </row>
    <row r="23" spans="1:8" s="36" customFormat="1" ht="5.5" customHeight="1"/>
    <row r="24" spans="1:8" s="36" customFormat="1" ht="18" customHeight="1">
      <c r="A24" s="799" t="s">
        <v>305</v>
      </c>
      <c r="B24" s="799"/>
      <c r="C24" s="799"/>
      <c r="D24" s="799"/>
      <c r="E24" s="799"/>
      <c r="F24" s="799"/>
      <c r="G24" s="219">
        <f>ROUND(SUM('Área - Produt - Servente'!G22,'Área - Produt - Servente'!K22,'Área - Produt - Servente'!O22,'Área - Produt - Servente'!S22,'Área - Produt - Servente'!G39,'Área - Produt - Servente'!K39,'Área - Produt - Servente'!O39,'Área - Produt - Servente'!S39,'Área - Produt - Servente'!G52,'Área - Produt - Servente'!G63,'Área - Produt - Servente'!G79,'Área - Produt - Servente'!G92),2)</f>
        <v>29</v>
      </c>
    </row>
    <row r="25" spans="1:8" s="36" customFormat="1" ht="5" customHeight="1"/>
    <row r="26" spans="1:8" s="182" customFormat="1" ht="21.5" customHeight="1">
      <c r="A26" s="806" t="s">
        <v>502</v>
      </c>
      <c r="B26" s="806"/>
      <c r="C26" s="806"/>
      <c r="D26" s="806"/>
      <c r="E26" s="806"/>
      <c r="F26" s="806"/>
      <c r="G26" s="666">
        <f>ROUND(G22/G24,2)</f>
        <v>59.51</v>
      </c>
      <c r="H26" s="218"/>
    </row>
  </sheetData>
  <mergeCells count="8">
    <mergeCell ref="A22:F22"/>
    <mergeCell ref="A24:F24"/>
    <mergeCell ref="A26:F26"/>
    <mergeCell ref="A1:G1"/>
    <mergeCell ref="A2:G2"/>
    <mergeCell ref="A4:F4"/>
    <mergeCell ref="A6:G6"/>
    <mergeCell ref="A8:G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6"/>
  <sheetViews>
    <sheetView showGridLines="0" topLeftCell="A12" zoomScale="85" zoomScaleNormal="85" workbookViewId="0">
      <selection activeCell="F22" sqref="F22:G22"/>
    </sheetView>
  </sheetViews>
  <sheetFormatPr defaultRowHeight="14.5"/>
  <cols>
    <col min="1" max="1" width="18.26953125" style="36" customWidth="1"/>
    <col min="2" max="2" width="9.1796875" style="36" customWidth="1"/>
    <col min="3" max="3" width="7.1796875" style="36" customWidth="1"/>
    <col min="4" max="4" width="11.81640625" style="36" customWidth="1"/>
    <col min="5" max="5" width="11.1796875" style="36" customWidth="1"/>
    <col min="6" max="6" width="12.36328125" style="36" customWidth="1"/>
    <col min="7" max="7" width="24.81640625" style="36" customWidth="1"/>
    <col min="8" max="8" width="18.7265625" style="36" customWidth="1"/>
    <col min="9" max="9" width="18.6328125" style="36" customWidth="1"/>
    <col min="10" max="10" width="23.26953125" style="36" customWidth="1"/>
    <col min="11" max="16384" width="8.7265625" style="36"/>
  </cols>
  <sheetData>
    <row r="1" spans="1:10" s="182" customFormat="1" ht="22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</row>
    <row r="2" spans="1:10" s="2" customFormat="1" ht="32.15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  <c r="J2" s="735"/>
    </row>
    <row r="3" spans="1:10" s="2" customFormat="1" ht="6" customHeight="1"/>
    <row r="4" spans="1:10" s="2" customFormat="1" ht="18" customHeight="1">
      <c r="A4" s="764" t="s">
        <v>1</v>
      </c>
      <c r="B4" s="765"/>
      <c r="C4" s="765"/>
      <c r="D4" s="765"/>
      <c r="E4" s="765"/>
      <c r="F4" s="765"/>
      <c r="G4" s="765"/>
      <c r="H4" s="766"/>
      <c r="I4" s="740" t="str">
        <f>CCT!J4</f>
        <v>10707.720194-2025-26</v>
      </c>
      <c r="J4" s="741"/>
    </row>
    <row r="5" spans="1:10" s="2" customFormat="1" ht="9" customHeight="1"/>
    <row r="6" spans="1:10" s="2" customFormat="1" ht="17.5" customHeight="1">
      <c r="A6" s="810" t="s">
        <v>521</v>
      </c>
      <c r="B6" s="811"/>
      <c r="C6" s="811"/>
      <c r="D6" s="811"/>
      <c r="E6" s="811"/>
      <c r="F6" s="811"/>
      <c r="G6" s="811"/>
      <c r="H6" s="811"/>
      <c r="I6" s="811"/>
      <c r="J6" s="812"/>
    </row>
    <row r="7" spans="1:10" s="2" customFormat="1" ht="10" customHeight="1">
      <c r="A7" s="164"/>
      <c r="B7" s="164"/>
      <c r="C7" s="164"/>
      <c r="D7" s="164"/>
      <c r="E7" s="164"/>
      <c r="F7" s="164"/>
      <c r="G7" s="164"/>
      <c r="H7" s="164"/>
      <c r="I7" s="164"/>
    </row>
    <row r="8" spans="1:10" s="182" customFormat="1" ht="22" customHeight="1">
      <c r="A8" s="733" t="s">
        <v>235</v>
      </c>
      <c r="B8" s="733"/>
      <c r="C8" s="733"/>
      <c r="D8" s="733"/>
      <c r="E8" s="733"/>
      <c r="F8" s="733"/>
      <c r="G8" s="733"/>
      <c r="H8" s="817"/>
      <c r="I8" s="817"/>
      <c r="J8" s="817"/>
    </row>
    <row r="9" spans="1:10" ht="42.5" customHeight="1">
      <c r="A9" s="167"/>
      <c r="B9" s="168"/>
      <c r="C9" s="168"/>
      <c r="D9" s="168"/>
      <c r="E9" s="168"/>
      <c r="F9" s="168"/>
      <c r="G9" s="168"/>
      <c r="H9" s="241" t="s">
        <v>139</v>
      </c>
      <c r="I9" s="242" t="s">
        <v>138</v>
      </c>
      <c r="J9" s="243" t="s">
        <v>294</v>
      </c>
    </row>
    <row r="10" spans="1:10" ht="5.5" customHeight="1">
      <c r="A10" s="167"/>
      <c r="B10" s="168"/>
      <c r="C10" s="168"/>
      <c r="D10" s="168"/>
      <c r="E10" s="168"/>
      <c r="F10" s="168"/>
      <c r="G10" s="168"/>
      <c r="H10" s="168"/>
      <c r="I10" s="163"/>
      <c r="J10" s="163"/>
    </row>
    <row r="11" spans="1:10" ht="25" customHeight="1">
      <c r="A11" s="818" t="s">
        <v>168</v>
      </c>
      <c r="B11" s="819"/>
      <c r="C11" s="819"/>
      <c r="D11" s="819"/>
      <c r="E11" s="819"/>
      <c r="F11" s="819"/>
      <c r="G11" s="820"/>
      <c r="H11" s="245">
        <v>10</v>
      </c>
      <c r="I11" s="201">
        <v>93</v>
      </c>
      <c r="J11" s="201">
        <v>150</v>
      </c>
    </row>
    <row r="12" spans="1:10" ht="38.5" customHeight="1">
      <c r="A12" s="167"/>
      <c r="B12" s="168"/>
      <c r="C12" s="168"/>
      <c r="D12" s="168"/>
      <c r="E12" s="168"/>
      <c r="F12" s="168"/>
      <c r="G12" s="168"/>
      <c r="H12" s="246" t="s">
        <v>284</v>
      </c>
      <c r="I12" s="246" t="s">
        <v>284</v>
      </c>
      <c r="J12" s="246" t="s">
        <v>284</v>
      </c>
    </row>
    <row r="13" spans="1:10" ht="21" customHeight="1">
      <c r="A13" s="826" t="s">
        <v>329</v>
      </c>
      <c r="B13" s="826"/>
      <c r="C13" s="826"/>
      <c r="D13" s="826"/>
      <c r="E13" s="826"/>
      <c r="F13" s="826"/>
      <c r="G13" s="826"/>
      <c r="H13" s="707">
        <v>149</v>
      </c>
      <c r="I13" s="707">
        <v>1385.7</v>
      </c>
      <c r="J13" s="707">
        <v>2235</v>
      </c>
    </row>
    <row r="14" spans="1:10" ht="13" customHeight="1"/>
    <row r="15" spans="1:10" ht="20.149999999999999" customHeight="1">
      <c r="A15" s="821" t="s">
        <v>330</v>
      </c>
      <c r="B15" s="821"/>
      <c r="C15" s="821"/>
      <c r="D15" s="821"/>
      <c r="E15" s="821"/>
      <c r="F15" s="821"/>
      <c r="G15" s="821"/>
      <c r="H15" s="247">
        <f>ROUND(H13/H11,2)</f>
        <v>14.9</v>
      </c>
      <c r="I15" s="247">
        <f t="shared" ref="I15:J15" si="0">ROUND(I13/I11,2)</f>
        <v>14.9</v>
      </c>
      <c r="J15" s="247">
        <f t="shared" si="0"/>
        <v>14.9</v>
      </c>
    </row>
    <row r="16" spans="1:10" ht="8" customHeight="1">
      <c r="A16" s="174"/>
      <c r="B16" s="174"/>
      <c r="C16" s="174"/>
      <c r="D16" s="174"/>
      <c r="E16" s="174"/>
      <c r="F16" s="174"/>
      <c r="G16" s="174"/>
      <c r="H16" s="175"/>
      <c r="I16" s="175"/>
      <c r="J16" s="175"/>
    </row>
    <row r="17" spans="1:10" ht="18" customHeight="1">
      <c r="A17" s="733" t="s">
        <v>228</v>
      </c>
      <c r="B17" s="733"/>
      <c r="C17" s="733"/>
      <c r="D17" s="733"/>
      <c r="E17" s="733"/>
      <c r="F17" s="733"/>
      <c r="G17" s="733"/>
      <c r="H17" s="169"/>
      <c r="I17" s="170"/>
      <c r="J17" s="170"/>
    </row>
    <row r="18" spans="1:10" ht="18" customHeight="1">
      <c r="A18" s="822" t="s">
        <v>223</v>
      </c>
      <c r="B18" s="799" t="s">
        <v>224</v>
      </c>
      <c r="C18" s="799"/>
      <c r="D18" s="799"/>
      <c r="E18" s="799"/>
      <c r="F18" s="823">
        <v>4.4900000000000002E-2</v>
      </c>
      <c r="G18" s="823"/>
      <c r="H18" s="207">
        <f>ROUND(F18*$H$15,2)</f>
        <v>0.67</v>
      </c>
      <c r="I18" s="207">
        <f>ROUND(F18*$I$15,2)</f>
        <v>0.67</v>
      </c>
      <c r="J18" s="207">
        <f>ROUND(F18*$J$15,2)</f>
        <v>0.67</v>
      </c>
    </row>
    <row r="19" spans="1:10" ht="18.5" customHeight="1">
      <c r="A19" s="822"/>
      <c r="B19" s="799" t="s">
        <v>225</v>
      </c>
      <c r="C19" s="799"/>
      <c r="D19" s="799"/>
      <c r="E19" s="799"/>
      <c r="F19" s="823">
        <v>1.11E-2</v>
      </c>
      <c r="G19" s="823"/>
      <c r="H19" s="207">
        <f>ROUND(F19*$H$15,2)</f>
        <v>0.17</v>
      </c>
      <c r="I19" s="207">
        <f>ROUND(F19*$I$15,2)</f>
        <v>0.17</v>
      </c>
      <c r="J19" s="207">
        <f>ROUND(F19*$J$15,2)</f>
        <v>0.17</v>
      </c>
    </row>
    <row r="20" spans="1:10" ht="30.5" customHeight="1">
      <c r="A20" s="822"/>
      <c r="B20" s="832" t="s">
        <v>226</v>
      </c>
      <c r="C20" s="832"/>
      <c r="D20" s="832"/>
      <c r="E20" s="832"/>
      <c r="F20" s="823">
        <v>5.9299999999999999E-2</v>
      </c>
      <c r="G20" s="823"/>
      <c r="H20" s="207">
        <f>ROUND(F20*$H$15,2)</f>
        <v>0.88</v>
      </c>
      <c r="I20" s="207">
        <f>ROUND(F20*$I$15,2)</f>
        <v>0.88</v>
      </c>
      <c r="J20" s="207">
        <f>ROUND(F20*$J$15,2)</f>
        <v>0.88</v>
      </c>
    </row>
    <row r="21" spans="1:10" ht="18" customHeight="1">
      <c r="A21" s="822"/>
      <c r="B21" s="833" t="s">
        <v>227</v>
      </c>
      <c r="C21" s="833"/>
      <c r="D21" s="799" t="s">
        <v>177</v>
      </c>
      <c r="E21" s="799"/>
      <c r="F21" s="816">
        <f>'Benefícios e Outros Dados'!K31</f>
        <v>0.05</v>
      </c>
      <c r="G21" s="816"/>
      <c r="H21" s="248">
        <f>ROUND(F21*(($H$15+$H$18+$H$19+$H$20)/(1-($F$21+$F$22+$F$23))),2)</f>
        <v>0.91</v>
      </c>
      <c r="I21" s="207">
        <f>ROUND(F21*(($I$15+$I$18+$I$19+$I$20)/(1-($F$21+$F$22+$F$23))),2)</f>
        <v>0.91</v>
      </c>
      <c r="J21" s="207">
        <f>ROUND(F21*(($J$15+$J$18+$J$19+$J$20)/(1-($F$21+$F$22+$F$23))),2)</f>
        <v>0.91</v>
      </c>
    </row>
    <row r="22" spans="1:10" ht="18" customHeight="1">
      <c r="A22" s="822"/>
      <c r="B22" s="833"/>
      <c r="C22" s="833"/>
      <c r="D22" s="799" t="s">
        <v>52</v>
      </c>
      <c r="E22" s="799"/>
      <c r="F22" s="816">
        <v>6.4999999999999997E-3</v>
      </c>
      <c r="G22" s="816"/>
      <c r="H22" s="248">
        <f>ROUND(F22*(($H$15+$H$18+$H$19+$H$20)/(1-($F$21+$F$22+$F$23))),2)</f>
        <v>0.12</v>
      </c>
      <c r="I22" s="207">
        <f>ROUND(F22*(($I$15+$I$18+$I$19+$I$20)/(1-($F$21+$F$22+$F$23))),2)</f>
        <v>0.12</v>
      </c>
      <c r="J22" s="207">
        <f>ROUND(F22*(($J$15+$J$18+$J$19+$J$20)/(1-($F$21+$F$22+$F$23))),2)</f>
        <v>0.12</v>
      </c>
    </row>
    <row r="23" spans="1:10" ht="18" customHeight="1">
      <c r="A23" s="822"/>
      <c r="B23" s="833"/>
      <c r="C23" s="833"/>
      <c r="D23" s="799" t="s">
        <v>53</v>
      </c>
      <c r="E23" s="799"/>
      <c r="F23" s="816">
        <v>0.03</v>
      </c>
      <c r="G23" s="816"/>
      <c r="H23" s="248">
        <f>ROUND(F23*(($H$15+$H$18+$H$19+$H$20)/(1-($F$21+$F$22+$F$23))),2)</f>
        <v>0.55000000000000004</v>
      </c>
      <c r="I23" s="207">
        <f>ROUND(F23*(($I$15+$I$18+$I$19+$I$20)/(1-($F$21+$F$22+$F$23))),2)</f>
        <v>0.55000000000000004</v>
      </c>
      <c r="J23" s="207">
        <f>ROUND(F23*(($J$15+$J$18+$J$19+$J$20)/(1-($F$21+$F$22+$F$23))),2)</f>
        <v>0.55000000000000004</v>
      </c>
    </row>
    <row r="24" spans="1:10" ht="7.5" customHeight="1">
      <c r="A24" s="176"/>
      <c r="B24" s="176"/>
      <c r="C24" s="176"/>
      <c r="D24" s="176"/>
      <c r="E24" s="176"/>
      <c r="F24" s="176"/>
      <c r="G24" s="176"/>
      <c r="H24" s="176"/>
      <c r="I24" s="176"/>
      <c r="J24" s="176"/>
    </row>
    <row r="25" spans="1:10" s="177" customFormat="1" ht="3" customHeight="1"/>
    <row r="26" spans="1:10" ht="41" customHeight="1" thickBot="1">
      <c r="A26" s="827" t="s">
        <v>485</v>
      </c>
      <c r="B26" s="827"/>
      <c r="C26" s="827"/>
      <c r="D26" s="827"/>
      <c r="E26" s="827"/>
      <c r="F26" s="827"/>
      <c r="G26" s="827"/>
      <c r="H26" s="244">
        <f>ROUND(SUM(H15,H18,H19,H20,H21,H22,H23),2)</f>
        <v>18.2</v>
      </c>
      <c r="I26" s="244">
        <f t="shared" ref="I26:J26" si="1">ROUND(SUM(I15,I18,I19,I20,I21,I22,I23),2)</f>
        <v>18.2</v>
      </c>
      <c r="J26" s="244">
        <f t="shared" si="1"/>
        <v>18.2</v>
      </c>
    </row>
    <row r="27" spans="1:10" ht="8.5" customHeight="1"/>
    <row r="28" spans="1:10" ht="24.5" customHeight="1">
      <c r="A28" s="830" t="s">
        <v>168</v>
      </c>
      <c r="B28" s="830"/>
      <c r="C28" s="830"/>
      <c r="D28" s="830"/>
      <c r="E28" s="830"/>
      <c r="F28" s="830"/>
      <c r="G28" s="830"/>
      <c r="H28" s="201">
        <f>H11</f>
        <v>10</v>
      </c>
      <c r="I28" s="201">
        <f t="shared" ref="I28:J28" si="2">I11</f>
        <v>93</v>
      </c>
      <c r="J28" s="201">
        <f t="shared" si="2"/>
        <v>150</v>
      </c>
    </row>
    <row r="29" spans="1:10" ht="8.5" customHeight="1"/>
    <row r="30" spans="1:10" ht="20" customHeight="1">
      <c r="A30" s="831" t="s">
        <v>331</v>
      </c>
      <c r="B30" s="831"/>
      <c r="C30" s="831"/>
      <c r="D30" s="831"/>
      <c r="E30" s="831"/>
      <c r="F30" s="831"/>
      <c r="G30" s="831"/>
      <c r="H30" s="207">
        <f>H26*H28</f>
        <v>182</v>
      </c>
      <c r="I30" s="207">
        <f t="shared" ref="I30:J30" si="3">I26*I28</f>
        <v>1692.6</v>
      </c>
      <c r="J30" s="207">
        <f t="shared" si="3"/>
        <v>2730</v>
      </c>
    </row>
    <row r="31" spans="1:10" ht="8.5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</row>
    <row r="32" spans="1:10" ht="17.5" customHeight="1">
      <c r="A32" s="828" t="s">
        <v>323</v>
      </c>
      <c r="B32" s="828"/>
      <c r="C32" s="828"/>
      <c r="D32" s="828"/>
      <c r="E32" s="828"/>
      <c r="F32" s="829">
        <f>'Benefícios e Outros Dados'!I8</f>
        <v>60</v>
      </c>
      <c r="G32" s="829"/>
      <c r="H32" s="790"/>
      <c r="I32" s="790"/>
      <c r="J32" s="790"/>
    </row>
    <row r="33" spans="1:10" ht="8.5" customHeight="1">
      <c r="A33" s="180"/>
      <c r="B33" s="180"/>
      <c r="C33" s="180"/>
      <c r="D33" s="180"/>
      <c r="E33" s="180"/>
      <c r="F33" s="180"/>
      <c r="G33" s="180"/>
      <c r="H33" s="180"/>
      <c r="I33" s="180"/>
      <c r="J33" s="180"/>
    </row>
    <row r="34" spans="1:10" ht="22" customHeight="1">
      <c r="A34" s="824" t="s">
        <v>332</v>
      </c>
      <c r="B34" s="824"/>
      <c r="C34" s="824"/>
      <c r="D34" s="824"/>
      <c r="E34" s="824"/>
      <c r="F34" s="824"/>
      <c r="G34" s="824"/>
      <c r="H34" s="249">
        <f>ROUND((6/12)*F32,0)</f>
        <v>30</v>
      </c>
      <c r="I34" s="249">
        <f>ROUND((6/12)*F32,0)</f>
        <v>30</v>
      </c>
      <c r="J34" s="249">
        <f>ROUND((4/12)*F32,0)</f>
        <v>20</v>
      </c>
    </row>
    <row r="35" spans="1:10" ht="8.5" customHeight="1"/>
    <row r="36" spans="1:10" ht="27" customHeight="1">
      <c r="A36" s="825" t="s">
        <v>321</v>
      </c>
      <c r="B36" s="825"/>
      <c r="C36" s="825"/>
      <c r="D36" s="825"/>
      <c r="E36" s="825"/>
      <c r="F36" s="825"/>
      <c r="G36" s="825"/>
      <c r="H36" s="666">
        <f>ROUND(H28*H34*H26,2)</f>
        <v>5460</v>
      </c>
      <c r="I36" s="666">
        <f t="shared" ref="I36:J36" si="4">ROUND(I28*I34*I26,2)</f>
        <v>50778</v>
      </c>
      <c r="J36" s="666">
        <f t="shared" si="4"/>
        <v>54600</v>
      </c>
    </row>
  </sheetData>
  <mergeCells count="32">
    <mergeCell ref="H32:J32"/>
    <mergeCell ref="A34:G34"/>
    <mergeCell ref="A36:G36"/>
    <mergeCell ref="A13:G13"/>
    <mergeCell ref="A17:G17"/>
    <mergeCell ref="A26:G26"/>
    <mergeCell ref="A32:E32"/>
    <mergeCell ref="F32:G32"/>
    <mergeCell ref="A28:G28"/>
    <mergeCell ref="A30:G30"/>
    <mergeCell ref="F19:G19"/>
    <mergeCell ref="B20:E20"/>
    <mergeCell ref="F20:G20"/>
    <mergeCell ref="B21:C23"/>
    <mergeCell ref="D21:E21"/>
    <mergeCell ref="F21:G21"/>
    <mergeCell ref="D22:E22"/>
    <mergeCell ref="F22:G22"/>
    <mergeCell ref="D23:E23"/>
    <mergeCell ref="A1:J1"/>
    <mergeCell ref="A2:J2"/>
    <mergeCell ref="A6:J6"/>
    <mergeCell ref="A8:J8"/>
    <mergeCell ref="A11:G11"/>
    <mergeCell ref="F23:G23"/>
    <mergeCell ref="A4:H4"/>
    <mergeCell ref="I4:J4"/>
    <mergeCell ref="A15:G15"/>
    <mergeCell ref="A18:A23"/>
    <mergeCell ref="B18:E18"/>
    <mergeCell ref="F18:G18"/>
    <mergeCell ref="B19:E19"/>
  </mergeCells>
  <pageMargins left="0.9055118110236221" right="0.51181102362204722" top="0.78740157480314965" bottom="0.78740157480314965" header="0.31496062992125984" footer="0.31496062992125984"/>
  <pageSetup paperSize="9" scale="75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62F76-FE78-4318-9958-825995E0855D}">
  <sheetPr>
    <pageSetUpPr fitToPage="1"/>
  </sheetPr>
  <dimension ref="A1:AW100"/>
  <sheetViews>
    <sheetView showGridLines="0" zoomScale="85" zoomScaleNormal="85" workbookViewId="0">
      <pane xSplit="4" ySplit="2" topLeftCell="E90" activePane="bottomRight" state="frozen"/>
      <selection pane="topRight" activeCell="E1" sqref="E1"/>
      <selection pane="bottomLeft" activeCell="A3" sqref="A3"/>
      <selection pane="bottomRight" activeCell="H100" activeCellId="15" sqref="H55 F55 D55 B55:C55 D68 B68:C68 F68 H68 B85:C85 D85 F85 H85 B100:C100 D100 F100 H100"/>
    </sheetView>
  </sheetViews>
  <sheetFormatPr defaultRowHeight="15.5"/>
  <cols>
    <col min="1" max="1" width="11.6328125" style="36" customWidth="1"/>
    <col min="2" max="2" width="29.81640625" style="36" customWidth="1"/>
    <col min="3" max="3" width="14.7265625" style="36" customWidth="1"/>
    <col min="4" max="4" width="16.08984375" style="36" customWidth="1"/>
    <col min="5" max="5" width="1.453125" style="36" customWidth="1"/>
    <col min="6" max="6" width="13" style="36" customWidth="1"/>
    <col min="7" max="7" width="23.6328125" style="36" customWidth="1"/>
    <col min="8" max="8" width="17.453125" style="36" customWidth="1"/>
    <col min="9" max="9" width="1.453125" style="36" customWidth="1"/>
    <col min="10" max="10" width="13.7265625" style="36" customWidth="1"/>
    <col min="11" max="11" width="24.54296875" style="36" customWidth="1"/>
    <col min="12" max="12" width="15.6328125" style="36" customWidth="1"/>
    <col min="13" max="13" width="1.453125" style="163" customWidth="1"/>
    <col min="14" max="14" width="14.7265625" style="36" customWidth="1"/>
    <col min="15" max="15" width="24.6328125" style="36" customWidth="1"/>
    <col min="16" max="16" width="15.1796875" style="36" customWidth="1"/>
    <col min="17" max="17" width="1.453125" style="36" customWidth="1"/>
    <col min="18" max="18" width="14.81640625" style="36" customWidth="1"/>
    <col min="19" max="19" width="24.7265625" style="36" customWidth="1"/>
    <col min="20" max="20" width="15.26953125" style="36" customWidth="1"/>
    <col min="21" max="21" width="1.453125" style="36" customWidth="1"/>
    <col min="22" max="22" width="14.81640625" style="36" customWidth="1"/>
    <col min="23" max="23" width="20.1796875" style="36" customWidth="1"/>
    <col min="24" max="24" width="15.26953125" style="36" customWidth="1"/>
    <col min="25" max="25" width="1.453125" style="36" customWidth="1"/>
    <col min="26" max="26" width="14.81640625" style="36" customWidth="1"/>
    <col min="27" max="27" width="20.1796875" style="36" customWidth="1"/>
    <col min="28" max="28" width="15.26953125" style="36" customWidth="1"/>
    <col min="29" max="29" width="1.453125" style="36" customWidth="1"/>
    <col min="30" max="30" width="14.81640625" style="36" customWidth="1"/>
    <col min="31" max="31" width="20.1796875" style="36" customWidth="1"/>
    <col min="32" max="32" width="15.26953125" style="36" customWidth="1"/>
    <col min="33" max="33" width="1.453125" style="36" customWidth="1"/>
    <col min="34" max="34" width="14.81640625" style="36" customWidth="1"/>
    <col min="35" max="35" width="20.1796875" style="36" customWidth="1"/>
    <col min="36" max="36" width="15.26953125" style="36" customWidth="1"/>
    <col min="37" max="37" width="1.453125" style="36" customWidth="1"/>
    <col min="38" max="38" width="14.81640625" style="36" customWidth="1"/>
    <col min="39" max="39" width="20.1796875" style="36" customWidth="1"/>
    <col min="40" max="40" width="17.1796875" style="36" customWidth="1"/>
    <col min="41" max="995" width="9.54296875" style="36" customWidth="1"/>
    <col min="996" max="16384" width="8.7265625" style="36"/>
  </cols>
  <sheetData>
    <row r="1" spans="1:49" s="2" customFormat="1" ht="18.5" customHeight="1">
      <c r="A1" s="734" t="s">
        <v>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  <c r="S1" s="734"/>
      <c r="T1" s="734"/>
    </row>
    <row r="2" spans="1:49" s="179" customFormat="1" ht="18.5" customHeight="1">
      <c r="A2" s="735" t="s">
        <v>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5"/>
      <c r="S2" s="735"/>
      <c r="T2" s="735"/>
    </row>
    <row r="3" spans="1:49" s="179" customFormat="1" ht="6.5" customHeight="1">
      <c r="A3" s="250"/>
      <c r="M3" s="185"/>
      <c r="T3" s="251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</row>
    <row r="4" spans="1:49" s="179" customFormat="1" ht="18.5" customHeight="1">
      <c r="A4" s="864" t="s">
        <v>1</v>
      </c>
      <c r="B4" s="779"/>
      <c r="C4" s="779"/>
      <c r="D4" s="779"/>
      <c r="E4" s="779"/>
      <c r="F4" s="779"/>
      <c r="G4" s="779"/>
      <c r="H4" s="779"/>
      <c r="I4" s="779"/>
      <c r="J4" s="779"/>
      <c r="K4" s="779"/>
      <c r="L4" s="755" t="str">
        <f>CCT!J4</f>
        <v>10707.720194-2025-26</v>
      </c>
      <c r="M4" s="755"/>
      <c r="N4" s="755"/>
      <c r="O4" s="755"/>
      <c r="P4" s="755"/>
      <c r="Q4" s="755"/>
      <c r="R4" s="755"/>
      <c r="S4" s="755"/>
      <c r="T4" s="755"/>
    </row>
    <row r="5" spans="1:49" s="179" customFormat="1" ht="6" customHeight="1">
      <c r="M5" s="185"/>
    </row>
    <row r="6" spans="1:49" s="179" customFormat="1" ht="18" customHeight="1">
      <c r="A6" s="865" t="s">
        <v>2</v>
      </c>
      <c r="B6" s="866"/>
      <c r="C6" s="866"/>
      <c r="D6" s="866"/>
      <c r="E6" s="866"/>
      <c r="F6" s="866"/>
      <c r="G6" s="866"/>
      <c r="H6" s="866"/>
      <c r="I6" s="866"/>
      <c r="J6" s="866"/>
      <c r="K6" s="866"/>
      <c r="L6" s="866"/>
      <c r="M6" s="866"/>
      <c r="N6" s="866"/>
      <c r="O6" s="866"/>
      <c r="P6" s="866"/>
      <c r="Q6" s="866"/>
      <c r="R6" s="866"/>
      <c r="S6" s="866"/>
      <c r="T6" s="867"/>
    </row>
    <row r="7" spans="1:49" s="180" customFormat="1"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185"/>
      <c r="O7" s="253"/>
      <c r="P7" s="253"/>
      <c r="S7" s="253"/>
      <c r="T7" s="253"/>
      <c r="W7" s="253"/>
      <c r="X7" s="253"/>
      <c r="AA7" s="253"/>
      <c r="AB7" s="253"/>
      <c r="AE7" s="253"/>
      <c r="AF7" s="253"/>
      <c r="AI7" s="253"/>
      <c r="AJ7" s="253"/>
      <c r="AM7" s="253"/>
      <c r="AN7" s="253"/>
    </row>
    <row r="8" spans="1:49" s="180" customFormat="1" ht="18.5" customHeight="1">
      <c r="A8" s="254"/>
      <c r="B8" s="253"/>
      <c r="C8" s="837" t="s">
        <v>275</v>
      </c>
      <c r="D8" s="837"/>
      <c r="E8" s="253"/>
      <c r="F8" s="838" t="s">
        <v>139</v>
      </c>
      <c r="G8" s="839"/>
      <c r="H8" s="840"/>
      <c r="I8" s="253"/>
      <c r="J8" s="841" t="s">
        <v>150</v>
      </c>
      <c r="K8" s="842"/>
      <c r="L8" s="843"/>
      <c r="M8" s="185"/>
      <c r="N8" s="844" t="s">
        <v>140</v>
      </c>
      <c r="O8" s="845"/>
      <c r="P8" s="846"/>
      <c r="R8" s="861" t="s">
        <v>141</v>
      </c>
      <c r="S8" s="862"/>
      <c r="T8" s="863"/>
      <c r="V8" s="868"/>
      <c r="W8" s="868"/>
      <c r="X8" s="868"/>
      <c r="Y8" s="189"/>
      <c r="Z8" s="868"/>
      <c r="AA8" s="868"/>
      <c r="AB8" s="868"/>
      <c r="AC8" s="189"/>
      <c r="AD8" s="868"/>
      <c r="AE8" s="868"/>
      <c r="AF8" s="868"/>
      <c r="AG8" s="189"/>
      <c r="AH8" s="868"/>
      <c r="AI8" s="868"/>
      <c r="AJ8" s="868"/>
      <c r="AK8" s="189"/>
      <c r="AL8" s="868"/>
      <c r="AM8" s="868"/>
      <c r="AN8" s="868"/>
    </row>
    <row r="9" spans="1:49" s="180" customFormat="1" ht="18.5" customHeight="1">
      <c r="A9" s="847" t="s">
        <v>137</v>
      </c>
      <c r="B9" s="849" t="s">
        <v>147</v>
      </c>
      <c r="C9" s="851" t="s">
        <v>486</v>
      </c>
      <c r="D9" s="853" t="s">
        <v>276</v>
      </c>
      <c r="F9" s="255"/>
      <c r="G9" s="256" t="s">
        <v>277</v>
      </c>
      <c r="H9" s="257" t="s">
        <v>278</v>
      </c>
      <c r="J9" s="258"/>
      <c r="K9" s="256" t="s">
        <v>277</v>
      </c>
      <c r="L9" s="257" t="s">
        <v>278</v>
      </c>
      <c r="M9" s="185"/>
      <c r="N9" s="259"/>
      <c r="O9" s="256" t="s">
        <v>277</v>
      </c>
      <c r="P9" s="257" t="s">
        <v>278</v>
      </c>
      <c r="R9" s="260"/>
      <c r="S9" s="256" t="s">
        <v>277</v>
      </c>
      <c r="T9" s="257" t="s">
        <v>278</v>
      </c>
      <c r="V9" s="181"/>
      <c r="W9" s="261"/>
      <c r="X9" s="262"/>
      <c r="Y9" s="189"/>
      <c r="Z9" s="181"/>
      <c r="AA9" s="261"/>
      <c r="AB9" s="262"/>
      <c r="AC9" s="189"/>
      <c r="AD9" s="181"/>
      <c r="AE9" s="261"/>
      <c r="AF9" s="262"/>
      <c r="AG9" s="189"/>
      <c r="AH9" s="181"/>
      <c r="AI9" s="261"/>
      <c r="AJ9" s="262"/>
      <c r="AK9" s="189"/>
      <c r="AL9" s="181"/>
      <c r="AM9" s="261"/>
      <c r="AN9" s="262"/>
    </row>
    <row r="10" spans="1:49" s="180" customFormat="1" ht="56.5" customHeight="1">
      <c r="A10" s="847"/>
      <c r="B10" s="850"/>
      <c r="C10" s="852"/>
      <c r="D10" s="854"/>
      <c r="E10" s="263"/>
      <c r="F10" s="264" t="s">
        <v>487</v>
      </c>
      <c r="G10" s="265" t="s">
        <v>279</v>
      </c>
      <c r="H10" s="264" t="s">
        <v>280</v>
      </c>
      <c r="J10" s="264" t="s">
        <v>487</v>
      </c>
      <c r="K10" s="266" t="s">
        <v>279</v>
      </c>
      <c r="L10" s="267" t="s">
        <v>280</v>
      </c>
      <c r="M10" s="185"/>
      <c r="N10" s="264" t="s">
        <v>487</v>
      </c>
      <c r="O10" s="268" t="s">
        <v>279</v>
      </c>
      <c r="P10" s="267" t="s">
        <v>280</v>
      </c>
      <c r="R10" s="264" t="s">
        <v>487</v>
      </c>
      <c r="S10" s="268" t="s">
        <v>279</v>
      </c>
      <c r="T10" s="267" t="s">
        <v>280</v>
      </c>
      <c r="V10" s="262"/>
      <c r="W10" s="269"/>
      <c r="X10" s="262"/>
      <c r="Y10" s="189"/>
      <c r="Z10" s="262"/>
      <c r="AA10" s="269"/>
      <c r="AB10" s="262"/>
      <c r="AC10" s="189"/>
      <c r="AD10" s="262"/>
      <c r="AE10" s="269"/>
      <c r="AF10" s="262"/>
      <c r="AG10" s="189"/>
      <c r="AH10" s="262"/>
      <c r="AI10" s="269"/>
      <c r="AJ10" s="262"/>
      <c r="AK10" s="189"/>
      <c r="AL10" s="262"/>
      <c r="AM10" s="269"/>
      <c r="AN10" s="262"/>
    </row>
    <row r="11" spans="1:49" s="180" customFormat="1" ht="18" customHeight="1">
      <c r="A11" s="848"/>
      <c r="B11" s="270" t="s">
        <v>126</v>
      </c>
      <c r="C11" s="271"/>
      <c r="D11" s="272"/>
      <c r="E11" s="273"/>
      <c r="F11" s="274" t="s">
        <v>126</v>
      </c>
      <c r="G11" s="275"/>
      <c r="H11" s="276"/>
      <c r="J11" s="274" t="s">
        <v>126</v>
      </c>
      <c r="K11" s="277"/>
      <c r="L11" s="272"/>
      <c r="M11" s="185"/>
      <c r="N11" s="277" t="s">
        <v>126</v>
      </c>
      <c r="O11" s="277"/>
      <c r="P11" s="272"/>
      <c r="R11" s="277" t="s">
        <v>126</v>
      </c>
      <c r="S11" s="277"/>
      <c r="T11" s="272"/>
      <c r="V11" s="278"/>
      <c r="W11" s="278"/>
      <c r="X11" s="278"/>
      <c r="Y11" s="189"/>
      <c r="Z11" s="278"/>
      <c r="AA11" s="278"/>
      <c r="AB11" s="278"/>
      <c r="AC11" s="189"/>
      <c r="AD11" s="278"/>
      <c r="AE11" s="278"/>
      <c r="AF11" s="278"/>
      <c r="AG11" s="189"/>
      <c r="AH11" s="278"/>
      <c r="AI11" s="278"/>
      <c r="AJ11" s="278"/>
      <c r="AK11" s="189"/>
      <c r="AL11" s="278"/>
      <c r="AM11" s="278"/>
      <c r="AN11" s="278"/>
    </row>
    <row r="12" spans="1:49" s="180" customFormat="1" ht="18" customHeight="1">
      <c r="A12" s="847"/>
      <c r="B12" s="279" t="s">
        <v>127</v>
      </c>
      <c r="C12" s="280">
        <v>1200</v>
      </c>
      <c r="D12" s="281">
        <f t="shared" ref="D12:D21" si="0">ROUND((C12*30)/44,2)</f>
        <v>818.18</v>
      </c>
      <c r="E12" s="282"/>
      <c r="F12" s="283">
        <v>515.32000000000005</v>
      </c>
      <c r="G12" s="284">
        <f>ROUND(F12/$D12,4)</f>
        <v>0.62980000000000003</v>
      </c>
      <c r="H12" s="284">
        <f>ROUND(F12/$C12,4)</f>
        <v>0.4294</v>
      </c>
      <c r="J12" s="285">
        <v>293.87</v>
      </c>
      <c r="K12" s="284">
        <f>ROUND(J12/$D12,4)</f>
        <v>0.35920000000000002</v>
      </c>
      <c r="L12" s="284">
        <f>ROUND(J12/$C12,4)</f>
        <v>0.24490000000000001</v>
      </c>
      <c r="M12" s="185"/>
      <c r="N12" s="283">
        <v>1431.22</v>
      </c>
      <c r="O12" s="284">
        <f>ROUND(N12/$D12,4)</f>
        <v>1.7493000000000001</v>
      </c>
      <c r="P12" s="284">
        <f>ROUND(N12/$C12,4)</f>
        <v>1.1927000000000001</v>
      </c>
      <c r="R12" s="283">
        <v>758.09</v>
      </c>
      <c r="S12" s="284">
        <f>ROUND(R12/$D12,4)</f>
        <v>0.92659999999999998</v>
      </c>
      <c r="T12" s="284">
        <f>ROUND(R12/$C12,4)</f>
        <v>0.63170000000000004</v>
      </c>
      <c r="V12" s="286"/>
      <c r="W12" s="287"/>
      <c r="X12" s="287"/>
      <c r="Y12" s="189"/>
      <c r="Z12" s="286"/>
      <c r="AA12" s="287"/>
      <c r="AB12" s="287"/>
      <c r="AC12" s="189"/>
      <c r="AD12" s="286"/>
      <c r="AE12" s="287"/>
      <c r="AF12" s="287"/>
      <c r="AG12" s="189"/>
      <c r="AH12" s="286"/>
      <c r="AI12" s="287"/>
      <c r="AJ12" s="287"/>
      <c r="AK12" s="189"/>
      <c r="AL12" s="286"/>
      <c r="AM12" s="287"/>
      <c r="AN12" s="287"/>
    </row>
    <row r="13" spans="1:49" s="180" customFormat="1" ht="31" customHeight="1">
      <c r="A13" s="847"/>
      <c r="B13" s="288" t="s">
        <v>129</v>
      </c>
      <c r="C13" s="289">
        <v>1500</v>
      </c>
      <c r="D13" s="290">
        <f t="shared" si="0"/>
        <v>1022.73</v>
      </c>
      <c r="E13" s="282"/>
      <c r="F13" s="283"/>
      <c r="G13" s="284">
        <f t="shared" ref="G13:G14" si="1">ROUND(F13/$D13,4)</f>
        <v>0</v>
      </c>
      <c r="H13" s="284">
        <f t="shared" ref="H13:H14" si="2">ROUND(F13/$C13,4)</f>
        <v>0</v>
      </c>
      <c r="J13" s="291"/>
      <c r="K13" s="284">
        <f>ROUND(J13/$D13,4)</f>
        <v>0</v>
      </c>
      <c r="L13" s="284">
        <f>ROUND(J13/$C13,4)</f>
        <v>0</v>
      </c>
      <c r="M13" s="185"/>
      <c r="N13" s="291">
        <v>343.28</v>
      </c>
      <c r="O13" s="284">
        <f>ROUND(N13/$D13,4)</f>
        <v>0.3357</v>
      </c>
      <c r="P13" s="284">
        <f>ROUND(N13/$C13,4)</f>
        <v>0.22889999999999999</v>
      </c>
      <c r="R13" s="291"/>
      <c r="S13" s="284">
        <f>ROUND(R13/$D13,4)</f>
        <v>0</v>
      </c>
      <c r="T13" s="284">
        <f>ROUND(R13/$C13,4)</f>
        <v>0</v>
      </c>
      <c r="V13" s="292"/>
      <c r="W13" s="287"/>
      <c r="X13" s="287"/>
      <c r="Y13" s="189"/>
      <c r="Z13" s="286"/>
      <c r="AA13" s="287"/>
      <c r="AB13" s="287"/>
      <c r="AC13" s="189"/>
      <c r="AD13" s="286"/>
      <c r="AE13" s="287"/>
      <c r="AF13" s="287"/>
      <c r="AG13" s="189"/>
      <c r="AH13" s="286"/>
      <c r="AI13" s="287"/>
      <c r="AJ13" s="287"/>
      <c r="AK13" s="189"/>
      <c r="AL13" s="286"/>
      <c r="AM13" s="287"/>
      <c r="AN13" s="287"/>
    </row>
    <row r="14" spans="1:49" s="180" customFormat="1" ht="18" customHeight="1">
      <c r="A14" s="847"/>
      <c r="B14" s="293" t="s">
        <v>281</v>
      </c>
      <c r="C14" s="294">
        <v>300</v>
      </c>
      <c r="D14" s="295">
        <f t="shared" si="0"/>
        <v>204.55</v>
      </c>
      <c r="E14" s="296"/>
      <c r="F14" s="297">
        <v>17.010000000000002</v>
      </c>
      <c r="G14" s="284">
        <f t="shared" si="1"/>
        <v>8.3199999999999996E-2</v>
      </c>
      <c r="H14" s="284">
        <f t="shared" si="2"/>
        <v>5.67E-2</v>
      </c>
      <c r="J14" s="298">
        <v>16.54</v>
      </c>
      <c r="K14" s="284">
        <f>ROUND(J14/$D14,4)</f>
        <v>8.09E-2</v>
      </c>
      <c r="L14" s="284">
        <f>ROUND(J14/$C14,4)</f>
        <v>5.5100000000000003E-2</v>
      </c>
      <c r="M14" s="185"/>
      <c r="N14" s="291">
        <v>96.39</v>
      </c>
      <c r="O14" s="284">
        <f>ROUND(N14/$D14,4)</f>
        <v>0.47120000000000001</v>
      </c>
      <c r="P14" s="284">
        <f>ROUND(N14/$C14,4)</f>
        <v>0.32129999999999997</v>
      </c>
      <c r="R14" s="291">
        <v>18.95</v>
      </c>
      <c r="S14" s="284">
        <f>ROUND(R14/$D14,4)</f>
        <v>9.2600000000000002E-2</v>
      </c>
      <c r="T14" s="284">
        <f>ROUND(R14/$C14,4)</f>
        <v>6.3200000000000006E-2</v>
      </c>
      <c r="V14" s="286"/>
      <c r="W14" s="287"/>
      <c r="X14" s="287"/>
      <c r="Y14" s="189"/>
      <c r="Z14" s="286"/>
      <c r="AA14" s="287"/>
      <c r="AB14" s="287"/>
      <c r="AC14" s="189"/>
      <c r="AD14" s="286"/>
      <c r="AE14" s="287"/>
      <c r="AF14" s="287"/>
      <c r="AG14" s="189"/>
      <c r="AH14" s="286"/>
      <c r="AI14" s="287"/>
      <c r="AJ14" s="287"/>
      <c r="AK14" s="189"/>
      <c r="AL14" s="286"/>
      <c r="AM14" s="287"/>
      <c r="AN14" s="287"/>
    </row>
    <row r="15" spans="1:49" s="180" customFormat="1" ht="18" customHeight="1">
      <c r="A15" s="848"/>
      <c r="B15" s="270" t="s">
        <v>132</v>
      </c>
      <c r="C15" s="271"/>
      <c r="D15" s="299"/>
      <c r="E15" s="273"/>
      <c r="F15" s="274" t="s">
        <v>132</v>
      </c>
      <c r="G15" s="277"/>
      <c r="H15" s="272"/>
      <c r="J15" s="300" t="s">
        <v>132</v>
      </c>
      <c r="K15" s="277"/>
      <c r="L15" s="272"/>
      <c r="M15" s="185"/>
      <c r="N15" s="277" t="s">
        <v>132</v>
      </c>
      <c r="O15" s="277"/>
      <c r="P15" s="272"/>
      <c r="R15" s="274" t="s">
        <v>132</v>
      </c>
      <c r="S15" s="277"/>
      <c r="T15" s="272"/>
      <c r="V15" s="278"/>
      <c r="W15" s="278"/>
      <c r="X15" s="278"/>
      <c r="Y15" s="189"/>
      <c r="Z15" s="278"/>
      <c r="AA15" s="278"/>
      <c r="AB15" s="278"/>
      <c r="AC15" s="189"/>
      <c r="AD15" s="278"/>
      <c r="AE15" s="278"/>
      <c r="AF15" s="278"/>
      <c r="AG15" s="189"/>
      <c r="AH15" s="278"/>
      <c r="AI15" s="278"/>
      <c r="AJ15" s="278"/>
      <c r="AK15" s="189"/>
      <c r="AL15" s="278"/>
      <c r="AM15" s="278"/>
      <c r="AN15" s="278"/>
    </row>
    <row r="16" spans="1:49" s="180" customFormat="1" ht="31.5" customHeight="1">
      <c r="A16" s="847"/>
      <c r="B16" s="301" t="s">
        <v>133</v>
      </c>
      <c r="C16" s="302">
        <v>2700</v>
      </c>
      <c r="D16" s="281">
        <f t="shared" si="0"/>
        <v>1840.91</v>
      </c>
      <c r="E16" s="303"/>
      <c r="F16" s="285">
        <v>117.53</v>
      </c>
      <c r="G16" s="284">
        <f>ROUND(F16/$D16,4)</f>
        <v>6.3799999999999996E-2</v>
      </c>
      <c r="H16" s="284">
        <f t="shared" ref="H16:H17" si="3">ROUND(F16/$C16,4)</f>
        <v>4.3499999999999997E-2</v>
      </c>
      <c r="J16" s="285">
        <v>37.979999999999997</v>
      </c>
      <c r="K16" s="284">
        <f t="shared" ref="K16:K18" si="4">ROUND(J16/$D16,4)</f>
        <v>2.06E-2</v>
      </c>
      <c r="L16" s="284">
        <f t="shared" ref="L16:L18" si="5">ROUND(J16/$C16,4)</f>
        <v>1.41E-2</v>
      </c>
      <c r="M16" s="185"/>
      <c r="N16" s="291">
        <v>77.7</v>
      </c>
      <c r="O16" s="284">
        <f t="shared" ref="O16:O18" si="6">ROUND(N16/$D16,4)</f>
        <v>4.2200000000000001E-2</v>
      </c>
      <c r="P16" s="284">
        <f t="shared" ref="P16:P18" si="7">ROUND(N16/$C16,4)</f>
        <v>2.8799999999999999E-2</v>
      </c>
      <c r="R16" s="291"/>
      <c r="S16" s="284">
        <f t="shared" ref="S16:S18" si="8">ROUND(R16/$D16,4)</f>
        <v>0</v>
      </c>
      <c r="T16" s="284">
        <f t="shared" ref="T16:T18" si="9">ROUND(R16/$C16,4)</f>
        <v>0</v>
      </c>
      <c r="V16" s="286"/>
      <c r="W16" s="287"/>
      <c r="X16" s="287"/>
      <c r="Y16" s="189"/>
      <c r="Z16" s="286"/>
      <c r="AA16" s="287"/>
      <c r="AB16" s="287"/>
      <c r="AC16" s="189"/>
      <c r="AD16" s="286"/>
      <c r="AE16" s="287"/>
      <c r="AF16" s="287"/>
      <c r="AG16" s="189"/>
      <c r="AH16" s="286"/>
      <c r="AI16" s="287"/>
      <c r="AJ16" s="287"/>
      <c r="AK16" s="189"/>
      <c r="AL16" s="286"/>
      <c r="AM16" s="287"/>
      <c r="AN16" s="287"/>
    </row>
    <row r="17" spans="1:40" s="180" customFormat="1" ht="18" customHeight="1">
      <c r="A17" s="847"/>
      <c r="B17" s="304" t="s">
        <v>134</v>
      </c>
      <c r="C17" s="305">
        <v>9000</v>
      </c>
      <c r="D17" s="290">
        <f t="shared" si="0"/>
        <v>6136.36</v>
      </c>
      <c r="E17" s="303"/>
      <c r="F17" s="283">
        <v>413.76</v>
      </c>
      <c r="G17" s="284">
        <f t="shared" ref="G17:G18" si="10">ROUND(F17/$D17,4)</f>
        <v>6.7400000000000002E-2</v>
      </c>
      <c r="H17" s="284">
        <f t="shared" si="3"/>
        <v>4.5999999999999999E-2</v>
      </c>
      <c r="J17" s="291"/>
      <c r="K17" s="284">
        <f t="shared" si="4"/>
        <v>0</v>
      </c>
      <c r="L17" s="284">
        <f t="shared" si="5"/>
        <v>0</v>
      </c>
      <c r="M17" s="185"/>
      <c r="N17" s="291">
        <v>26.7</v>
      </c>
      <c r="O17" s="284">
        <f t="shared" si="6"/>
        <v>4.4000000000000003E-3</v>
      </c>
      <c r="P17" s="284">
        <f t="shared" si="7"/>
        <v>3.0000000000000001E-3</v>
      </c>
      <c r="R17" s="291"/>
      <c r="S17" s="284">
        <f t="shared" si="8"/>
        <v>0</v>
      </c>
      <c r="T17" s="284">
        <f t="shared" si="9"/>
        <v>0</v>
      </c>
      <c r="V17" s="286"/>
      <c r="W17" s="287"/>
      <c r="X17" s="287"/>
      <c r="Y17" s="189"/>
      <c r="Z17" s="286"/>
      <c r="AA17" s="287"/>
      <c r="AB17" s="287"/>
      <c r="AC17" s="189"/>
      <c r="AD17" s="286"/>
      <c r="AE17" s="287"/>
      <c r="AF17" s="287"/>
      <c r="AG17" s="189"/>
      <c r="AH17" s="286"/>
      <c r="AI17" s="287"/>
      <c r="AJ17" s="287"/>
      <c r="AK17" s="189"/>
      <c r="AL17" s="286"/>
      <c r="AM17" s="287"/>
      <c r="AN17" s="287"/>
    </row>
    <row r="18" spans="1:40" s="180" customFormat="1" ht="30.5" customHeight="1">
      <c r="A18" s="847"/>
      <c r="B18" s="304" t="s">
        <v>148</v>
      </c>
      <c r="C18" s="305">
        <v>2700</v>
      </c>
      <c r="D18" s="290">
        <f t="shared" si="0"/>
        <v>1840.91</v>
      </c>
      <c r="E18" s="303"/>
      <c r="F18" s="283"/>
      <c r="G18" s="284">
        <f t="shared" si="10"/>
        <v>0</v>
      </c>
      <c r="H18" s="284">
        <f>ROUND(F18/$C18,4)</f>
        <v>0</v>
      </c>
      <c r="J18" s="283"/>
      <c r="K18" s="284">
        <f t="shared" si="4"/>
        <v>0</v>
      </c>
      <c r="L18" s="284">
        <f t="shared" si="5"/>
        <v>0</v>
      </c>
      <c r="M18" s="185"/>
      <c r="N18" s="283">
        <v>24.9</v>
      </c>
      <c r="O18" s="284">
        <f t="shared" si="6"/>
        <v>1.35E-2</v>
      </c>
      <c r="P18" s="284">
        <f t="shared" si="7"/>
        <v>9.1999999999999998E-3</v>
      </c>
      <c r="R18" s="283"/>
      <c r="S18" s="284">
        <f t="shared" si="8"/>
        <v>0</v>
      </c>
      <c r="T18" s="284">
        <f t="shared" si="9"/>
        <v>0</v>
      </c>
      <c r="V18" s="292"/>
      <c r="W18" s="287"/>
      <c r="X18" s="287"/>
      <c r="Y18" s="189"/>
      <c r="Z18" s="286"/>
      <c r="AA18" s="287"/>
      <c r="AB18" s="287"/>
      <c r="AC18" s="189"/>
      <c r="AD18" s="292"/>
      <c r="AE18" s="287"/>
      <c r="AF18" s="287"/>
      <c r="AG18" s="189"/>
      <c r="AH18" s="286"/>
      <c r="AI18" s="287"/>
      <c r="AJ18" s="287"/>
      <c r="AK18" s="189"/>
      <c r="AL18" s="286"/>
      <c r="AM18" s="287"/>
      <c r="AN18" s="287"/>
    </row>
    <row r="19" spans="1:40" s="180" customFormat="1" ht="18" customHeight="1">
      <c r="A19" s="847"/>
      <c r="B19" s="306" t="s">
        <v>136</v>
      </c>
      <c r="C19" s="307"/>
      <c r="D19" s="307"/>
      <c r="E19" s="273"/>
      <c r="F19" s="306" t="s">
        <v>136</v>
      </c>
      <c r="G19" s="277"/>
      <c r="H19" s="299"/>
      <c r="J19" s="306" t="s">
        <v>136</v>
      </c>
      <c r="K19" s="274"/>
      <c r="L19" s="308"/>
      <c r="M19" s="185"/>
      <c r="N19" s="306" t="s">
        <v>136</v>
      </c>
      <c r="O19" s="274"/>
      <c r="P19" s="308"/>
      <c r="R19" s="306" t="s">
        <v>136</v>
      </c>
      <c r="S19" s="277"/>
      <c r="T19" s="299"/>
      <c r="V19" s="278"/>
      <c r="W19" s="278"/>
      <c r="X19" s="278"/>
      <c r="Y19" s="189"/>
      <c r="Z19" s="278"/>
      <c r="AA19" s="278"/>
      <c r="AB19" s="278"/>
      <c r="AC19" s="189"/>
      <c r="AD19" s="278"/>
      <c r="AE19" s="278"/>
      <c r="AF19" s="278"/>
      <c r="AG19" s="189"/>
      <c r="AH19" s="278"/>
      <c r="AI19" s="278"/>
      <c r="AJ19" s="278"/>
      <c r="AK19" s="189"/>
      <c r="AL19" s="278"/>
      <c r="AM19" s="278"/>
      <c r="AN19" s="278"/>
    </row>
    <row r="20" spans="1:40" s="180" customFormat="1" ht="29" customHeight="1">
      <c r="A20" s="847"/>
      <c r="B20" s="309" t="s">
        <v>316</v>
      </c>
      <c r="C20" s="305">
        <v>380</v>
      </c>
      <c r="D20" s="290">
        <f t="shared" si="0"/>
        <v>259.08999999999997</v>
      </c>
      <c r="E20" s="303"/>
      <c r="F20" s="310">
        <v>40.450000000000003</v>
      </c>
      <c r="G20" s="311">
        <f>ROUND((12/(128.7*$D20))*F20,5)</f>
        <v>1.46E-2</v>
      </c>
      <c r="H20" s="284">
        <f>ROUND((16/(188.76*$C20))*F20,5)</f>
        <v>8.9999999999999993E-3</v>
      </c>
      <c r="J20" s="310">
        <v>26.65</v>
      </c>
      <c r="K20" s="311">
        <f>ROUND((12/(128.7*$D20))*J20,5)</f>
        <v>9.5999999999999992E-3</v>
      </c>
      <c r="L20" s="284">
        <f>ROUND((16/(188.76*$C20))*J20,5)</f>
        <v>5.8999999999999999E-3</v>
      </c>
      <c r="M20" s="185"/>
      <c r="N20" s="291">
        <v>26.69</v>
      </c>
      <c r="O20" s="311">
        <f>ROUND((12/(128.7*$D20))*N20,5)</f>
        <v>9.5999999999999992E-3</v>
      </c>
      <c r="P20" s="284">
        <f>ROUND((16/(188.76*$C20))*N20,5)</f>
        <v>6.0000000000000001E-3</v>
      </c>
      <c r="R20" s="291">
        <v>14.7</v>
      </c>
      <c r="S20" s="311">
        <f>ROUND((12/(128.7*$D20))*R20,5)</f>
        <v>5.3E-3</v>
      </c>
      <c r="T20" s="284">
        <f>ROUND((16/(188.76*$C20))*R20,5)</f>
        <v>3.3E-3</v>
      </c>
      <c r="V20" s="292"/>
      <c r="W20" s="287"/>
      <c r="X20" s="287"/>
      <c r="Y20" s="189"/>
      <c r="Z20" s="286"/>
      <c r="AA20" s="287"/>
      <c r="AB20" s="287"/>
      <c r="AC20" s="189"/>
      <c r="AD20" s="286"/>
      <c r="AE20" s="287"/>
      <c r="AF20" s="287"/>
      <c r="AG20" s="189"/>
      <c r="AH20" s="286"/>
      <c r="AI20" s="287"/>
      <c r="AJ20" s="287"/>
      <c r="AK20" s="189"/>
      <c r="AL20" s="286"/>
      <c r="AM20" s="287"/>
      <c r="AN20" s="287"/>
    </row>
    <row r="21" spans="1:40" s="180" customFormat="1" ht="28.5" customHeight="1">
      <c r="A21" s="847"/>
      <c r="B21" s="312" t="s">
        <v>317</v>
      </c>
      <c r="C21" s="305">
        <v>380</v>
      </c>
      <c r="D21" s="290">
        <f t="shared" si="0"/>
        <v>259.08999999999997</v>
      </c>
      <c r="E21" s="303"/>
      <c r="F21" s="283">
        <v>38.85</v>
      </c>
      <c r="G21" s="284">
        <f>ROUND((12/(128.7*$D21))*F21,5)</f>
        <v>1.4E-2</v>
      </c>
      <c r="H21" s="313">
        <f>ROUND((16/(188.76*$C21))*F21,5)</f>
        <v>8.6999999999999994E-3</v>
      </c>
      <c r="J21" s="283">
        <v>11.72</v>
      </c>
      <c r="K21" s="284">
        <f>ROUND((12/(128.7*$D21))*J21,5)</f>
        <v>4.1999999999999997E-3</v>
      </c>
      <c r="L21" s="313">
        <f>ROUND((16/(188.76*$C21))*J21,5)</f>
        <v>2.5999999999999999E-3</v>
      </c>
      <c r="M21" s="185"/>
      <c r="N21" s="283">
        <v>86.4</v>
      </c>
      <c r="O21" s="284">
        <f>ROUND((12/(128.7*$D21))*N21,5)</f>
        <v>3.1099999999999999E-2</v>
      </c>
      <c r="P21" s="313">
        <f>ROUND((16/(188.76*$C21))*N21,5)</f>
        <v>1.9300000000000001E-2</v>
      </c>
      <c r="R21" s="283">
        <v>2.95</v>
      </c>
      <c r="S21" s="284">
        <f>ROUND((12/(128.7*$D21))*R21,5)</f>
        <v>1.1000000000000001E-3</v>
      </c>
      <c r="T21" s="313">
        <f>ROUND((16/(188.76*$C21))*R21,5)</f>
        <v>6.9999999999999999E-4</v>
      </c>
      <c r="V21" s="286"/>
      <c r="W21" s="287"/>
      <c r="X21" s="287"/>
      <c r="Y21" s="189"/>
      <c r="Z21" s="286"/>
      <c r="AA21" s="287"/>
      <c r="AB21" s="287"/>
      <c r="AC21" s="189"/>
      <c r="AD21" s="286"/>
      <c r="AE21" s="287"/>
      <c r="AF21" s="287"/>
      <c r="AG21" s="189"/>
      <c r="AH21" s="286"/>
      <c r="AI21" s="287"/>
      <c r="AJ21" s="287"/>
      <c r="AK21" s="189"/>
      <c r="AL21" s="286"/>
      <c r="AM21" s="287"/>
      <c r="AN21" s="287"/>
    </row>
    <row r="22" spans="1:40" s="180" customFormat="1" ht="18.5" customHeight="1">
      <c r="A22" s="847"/>
      <c r="B22" s="855" t="s">
        <v>151</v>
      </c>
      <c r="C22" s="855"/>
      <c r="D22" s="855"/>
      <c r="F22" s="314"/>
      <c r="G22" s="315" t="s">
        <v>151</v>
      </c>
      <c r="H22" s="284">
        <f>SUM(H20:H21,H16:H18,H12:H14)</f>
        <v>0.59330000000000005</v>
      </c>
      <c r="J22" s="316"/>
      <c r="K22" s="315" t="s">
        <v>151</v>
      </c>
      <c r="L22" s="284">
        <f>SUM(L20:L21,L16:L18,L12:L14)</f>
        <v>0.3226</v>
      </c>
      <c r="M22" s="185"/>
      <c r="N22" s="317"/>
      <c r="O22" s="315" t="s">
        <v>151</v>
      </c>
      <c r="P22" s="284">
        <f>SUM(P20:P21,P16:P18,P12:P14)</f>
        <v>1.8091999999999999</v>
      </c>
      <c r="R22" s="314"/>
      <c r="S22" s="315" t="s">
        <v>151</v>
      </c>
      <c r="T22" s="284">
        <f>SUM(T20:T21,T16:T18,T12:T14)</f>
        <v>0.69889999999999997</v>
      </c>
      <c r="V22" s="189"/>
      <c r="W22" s="318"/>
      <c r="X22" s="287"/>
      <c r="Y22" s="189"/>
      <c r="Z22" s="189"/>
      <c r="AA22" s="318"/>
      <c r="AB22" s="287"/>
      <c r="AC22" s="189"/>
      <c r="AD22" s="189"/>
      <c r="AE22" s="318"/>
      <c r="AF22" s="287"/>
      <c r="AG22" s="189"/>
      <c r="AH22" s="189"/>
      <c r="AI22" s="318"/>
      <c r="AJ22" s="287"/>
      <c r="AK22" s="189"/>
      <c r="AL22" s="189"/>
      <c r="AM22" s="318"/>
      <c r="AN22" s="287"/>
    </row>
    <row r="23" spans="1:40" s="180" customFormat="1" ht="18.5" customHeight="1">
      <c r="A23" s="847"/>
      <c r="B23" s="856" t="s">
        <v>149</v>
      </c>
      <c r="C23" s="856"/>
      <c r="D23" s="670"/>
      <c r="E23" s="303"/>
      <c r="F23" s="671"/>
      <c r="G23" s="319">
        <f>SUM(G20:G21,G16:G18,G12:G14)</f>
        <v>0.87280000000000002</v>
      </c>
      <c r="H23" s="673">
        <f>ROUND(H22,4)</f>
        <v>0.59330000000000005</v>
      </c>
      <c r="J23" s="674"/>
      <c r="K23" s="319">
        <f>SUM(K20:K21,K16:K18,K12:K14)</f>
        <v>0.47449999999999998</v>
      </c>
      <c r="L23" s="675">
        <f>ROUND(L22,4)</f>
        <v>0.32</v>
      </c>
      <c r="M23" s="185"/>
      <c r="N23" s="674"/>
      <c r="O23" s="319">
        <f>SUM(O20:O21,O16:O18,O12:O14)</f>
        <v>2.657</v>
      </c>
      <c r="P23" s="669">
        <f>ROUND(P22,4)</f>
        <v>1.8091999999999999</v>
      </c>
      <c r="R23" s="674"/>
      <c r="S23" s="319">
        <f>SUM(S20:S21,S16:S18,S12:S14)</f>
        <v>1.0256000000000001</v>
      </c>
      <c r="T23" s="669">
        <f>ROUND(T22,4)</f>
        <v>0.69889999999999997</v>
      </c>
      <c r="V23" s="189"/>
      <c r="W23" s="320"/>
      <c r="X23" s="321"/>
      <c r="Y23" s="189"/>
      <c r="Z23" s="189"/>
      <c r="AA23" s="320"/>
      <c r="AB23" s="321"/>
      <c r="AC23" s="189"/>
      <c r="AD23" s="189"/>
      <c r="AE23" s="320"/>
      <c r="AF23" s="321"/>
      <c r="AG23" s="189"/>
      <c r="AH23" s="189"/>
      <c r="AI23" s="320"/>
      <c r="AJ23" s="321"/>
      <c r="AK23" s="189"/>
      <c r="AL23" s="189"/>
      <c r="AM23" s="320"/>
      <c r="AN23" s="321"/>
    </row>
    <row r="24" spans="1:40" s="189" customFormat="1" ht="7" customHeight="1" thickBot="1">
      <c r="A24" s="322"/>
      <c r="B24" s="323"/>
      <c r="C24" s="323"/>
      <c r="D24" s="324"/>
      <c r="E24" s="325"/>
      <c r="F24" s="325"/>
      <c r="G24" s="326"/>
      <c r="H24" s="327"/>
      <c r="K24" s="326"/>
      <c r="L24" s="328"/>
      <c r="M24" s="181"/>
      <c r="O24" s="320"/>
      <c r="P24" s="321"/>
      <c r="S24" s="320"/>
      <c r="T24" s="321"/>
      <c r="W24" s="320"/>
      <c r="X24" s="321"/>
      <c r="AA24" s="320"/>
      <c r="AB24" s="321"/>
      <c r="AE24" s="320"/>
      <c r="AF24" s="321"/>
      <c r="AI24" s="320"/>
      <c r="AJ24" s="321"/>
      <c r="AM24" s="320"/>
      <c r="AN24" s="321"/>
    </row>
    <row r="25" spans="1:40" s="180" customFormat="1" ht="18.5" customHeight="1">
      <c r="B25" s="253"/>
      <c r="C25" s="875" t="s">
        <v>275</v>
      </c>
      <c r="D25" s="876"/>
      <c r="E25" s="303"/>
      <c r="F25" s="877" t="s">
        <v>138</v>
      </c>
      <c r="G25" s="878"/>
      <c r="H25" s="879"/>
      <c r="J25" s="881" t="s">
        <v>240</v>
      </c>
      <c r="K25" s="882"/>
      <c r="L25" s="883"/>
      <c r="N25" s="857" t="s">
        <v>241</v>
      </c>
      <c r="O25" s="858"/>
      <c r="P25" s="859"/>
      <c r="R25" s="869" t="s">
        <v>242</v>
      </c>
      <c r="S25" s="870"/>
      <c r="T25" s="871"/>
      <c r="Z25" s="329"/>
      <c r="AA25" s="303"/>
      <c r="AB25" s="329"/>
      <c r="AD25" s="329"/>
      <c r="AE25" s="303"/>
      <c r="AF25" s="329"/>
      <c r="AH25" s="329"/>
      <c r="AI25" s="303"/>
      <c r="AJ25" s="329"/>
      <c r="AL25" s="329"/>
      <c r="AM25" s="303"/>
      <c r="AN25" s="329"/>
    </row>
    <row r="26" spans="1:40" s="180" customFormat="1" ht="18" customHeight="1">
      <c r="A26" s="847" t="s">
        <v>138</v>
      </c>
      <c r="B26" s="849" t="s">
        <v>147</v>
      </c>
      <c r="C26" s="860" t="s">
        <v>486</v>
      </c>
      <c r="D26" s="880" t="s">
        <v>276</v>
      </c>
      <c r="F26" s="330"/>
      <c r="G26" s="256" t="s">
        <v>277</v>
      </c>
      <c r="H26" s="257" t="s">
        <v>278</v>
      </c>
      <c r="J26" s="331"/>
      <c r="K26" s="256" t="s">
        <v>277</v>
      </c>
      <c r="L26" s="257" t="s">
        <v>278</v>
      </c>
      <c r="N26" s="332"/>
      <c r="O26" s="256" t="s">
        <v>277</v>
      </c>
      <c r="P26" s="257" t="s">
        <v>278</v>
      </c>
      <c r="R26" s="333"/>
      <c r="S26" s="256" t="s">
        <v>277</v>
      </c>
      <c r="T26" s="257" t="s">
        <v>278</v>
      </c>
    </row>
    <row r="27" spans="1:40" s="180" customFormat="1" ht="52">
      <c r="A27" s="847"/>
      <c r="B27" s="850"/>
      <c r="C27" s="852"/>
      <c r="D27" s="854"/>
      <c r="F27" s="267" t="s">
        <v>487</v>
      </c>
      <c r="G27" s="268" t="s">
        <v>279</v>
      </c>
      <c r="H27" s="267" t="s">
        <v>280</v>
      </c>
      <c r="J27" s="264" t="s">
        <v>487</v>
      </c>
      <c r="K27" s="268" t="s">
        <v>279</v>
      </c>
      <c r="L27" s="267" t="s">
        <v>280</v>
      </c>
      <c r="N27" s="267" t="s">
        <v>487</v>
      </c>
      <c r="O27" s="268" t="s">
        <v>279</v>
      </c>
      <c r="P27" s="267" t="s">
        <v>280</v>
      </c>
      <c r="R27" s="267" t="s">
        <v>487</v>
      </c>
      <c r="S27" s="268" t="s">
        <v>279</v>
      </c>
      <c r="T27" s="267" t="s">
        <v>280</v>
      </c>
    </row>
    <row r="28" spans="1:40" s="180" customFormat="1" ht="18.5" customHeight="1">
      <c r="A28" s="848"/>
      <c r="B28" s="270" t="s">
        <v>126</v>
      </c>
      <c r="C28" s="271"/>
      <c r="D28" s="272"/>
      <c r="F28" s="274" t="s">
        <v>126</v>
      </c>
      <c r="G28" s="277"/>
      <c r="H28" s="272"/>
      <c r="J28" s="277" t="s">
        <v>126</v>
      </c>
      <c r="K28" s="277"/>
      <c r="L28" s="272"/>
      <c r="N28" s="277" t="s">
        <v>126</v>
      </c>
      <c r="O28" s="277"/>
      <c r="P28" s="272"/>
      <c r="R28" s="277" t="s">
        <v>126</v>
      </c>
      <c r="S28" s="277"/>
      <c r="T28" s="272"/>
    </row>
    <row r="29" spans="1:40" s="180" customFormat="1" ht="18.5" customHeight="1">
      <c r="A29" s="847"/>
      <c r="B29" s="279" t="s">
        <v>127</v>
      </c>
      <c r="C29" s="280">
        <v>1200</v>
      </c>
      <c r="D29" s="281">
        <f t="shared" ref="D29:D32" si="11">ROUND((C29*30)/44,2)</f>
        <v>818.18</v>
      </c>
      <c r="F29" s="334">
        <v>1072</v>
      </c>
      <c r="G29" s="284">
        <f t="shared" ref="G29:G32" si="12">ROUND(F29/$D29,4)</f>
        <v>1.3102</v>
      </c>
      <c r="H29" s="284">
        <f t="shared" ref="H29:H32" si="13">ROUND(F29/$C29,4)</f>
        <v>0.89329999999999998</v>
      </c>
      <c r="J29" s="283">
        <v>759</v>
      </c>
      <c r="K29" s="284">
        <f t="shared" ref="K29:K32" si="14">ROUND(J29/$D29,4)</f>
        <v>0.92769999999999997</v>
      </c>
      <c r="L29" s="284">
        <f t="shared" ref="L29:L32" si="15">ROUND(J29/$C29,4)</f>
        <v>0.63249999999999995</v>
      </c>
      <c r="N29" s="283">
        <v>644</v>
      </c>
      <c r="O29" s="284">
        <f t="shared" ref="O29:O32" si="16">ROUND(N29/$D29,4)</f>
        <v>0.78710000000000002</v>
      </c>
      <c r="P29" s="284">
        <f t="shared" ref="P29:P32" si="17">ROUND(N29/$C29,4)</f>
        <v>0.53669999999999995</v>
      </c>
      <c r="R29" s="283">
        <v>413.5</v>
      </c>
      <c r="S29" s="284">
        <f t="shared" ref="S29:S32" si="18">ROUND(R29/$D29,4)</f>
        <v>0.50539999999999996</v>
      </c>
      <c r="T29" s="284">
        <f t="shared" ref="T29:T32" si="19">ROUND(R29/$C29,4)</f>
        <v>0.34460000000000002</v>
      </c>
    </row>
    <row r="30" spans="1:40" s="180" customFormat="1" ht="18.5" customHeight="1">
      <c r="A30" s="847"/>
      <c r="B30" s="288" t="s">
        <v>128</v>
      </c>
      <c r="C30" s="289">
        <v>2500</v>
      </c>
      <c r="D30" s="290">
        <f t="shared" si="11"/>
        <v>1704.55</v>
      </c>
      <c r="F30" s="334"/>
      <c r="G30" s="284">
        <f t="shared" si="12"/>
        <v>0</v>
      </c>
      <c r="H30" s="284">
        <f t="shared" si="13"/>
        <v>0</v>
      </c>
      <c r="J30" s="283">
        <v>18</v>
      </c>
      <c r="K30" s="284">
        <f t="shared" si="14"/>
        <v>1.06E-2</v>
      </c>
      <c r="L30" s="284">
        <f t="shared" si="15"/>
        <v>7.1999999999999998E-3</v>
      </c>
      <c r="N30" s="283">
        <v>325</v>
      </c>
      <c r="O30" s="284">
        <f t="shared" si="16"/>
        <v>0.19070000000000001</v>
      </c>
      <c r="P30" s="284">
        <f t="shared" si="17"/>
        <v>0.13</v>
      </c>
      <c r="R30" s="283">
        <v>8</v>
      </c>
      <c r="S30" s="284">
        <f t="shared" si="18"/>
        <v>4.7000000000000002E-3</v>
      </c>
      <c r="T30" s="284">
        <f t="shared" si="19"/>
        <v>3.2000000000000002E-3</v>
      </c>
    </row>
    <row r="31" spans="1:40" s="180" customFormat="1" ht="18.5" customHeight="1">
      <c r="A31" s="847"/>
      <c r="B31" s="304" t="s">
        <v>130</v>
      </c>
      <c r="C31" s="289">
        <v>300</v>
      </c>
      <c r="D31" s="290">
        <f t="shared" si="11"/>
        <v>204.55</v>
      </c>
      <c r="F31" s="334">
        <v>91.16</v>
      </c>
      <c r="G31" s="284">
        <f t="shared" si="12"/>
        <v>0.44569999999999999</v>
      </c>
      <c r="H31" s="284">
        <f t="shared" si="13"/>
        <v>0.3039</v>
      </c>
      <c r="J31" s="283"/>
      <c r="K31" s="284">
        <f t="shared" si="14"/>
        <v>0</v>
      </c>
      <c r="L31" s="284">
        <f t="shared" si="15"/>
        <v>0</v>
      </c>
      <c r="N31" s="291"/>
      <c r="O31" s="284">
        <f t="shared" si="16"/>
        <v>0</v>
      </c>
      <c r="P31" s="284">
        <f t="shared" si="17"/>
        <v>0</v>
      </c>
      <c r="R31" s="291">
        <v>26.88</v>
      </c>
      <c r="S31" s="284">
        <f t="shared" si="18"/>
        <v>0.13139999999999999</v>
      </c>
      <c r="T31" s="284">
        <f t="shared" si="19"/>
        <v>8.9599999999999999E-2</v>
      </c>
    </row>
    <row r="32" spans="1:40" s="180" customFormat="1" ht="18.5" customHeight="1">
      <c r="A32" s="847"/>
      <c r="B32" s="293" t="s">
        <v>281</v>
      </c>
      <c r="C32" s="294">
        <v>300</v>
      </c>
      <c r="D32" s="295">
        <f t="shared" si="11"/>
        <v>204.55</v>
      </c>
      <c r="F32" s="334">
        <v>13.31</v>
      </c>
      <c r="G32" s="284">
        <f t="shared" si="12"/>
        <v>6.5100000000000005E-2</v>
      </c>
      <c r="H32" s="284">
        <f t="shared" si="13"/>
        <v>4.4400000000000002E-2</v>
      </c>
      <c r="J32" s="283">
        <v>53</v>
      </c>
      <c r="K32" s="284">
        <f t="shared" si="14"/>
        <v>0.2591</v>
      </c>
      <c r="L32" s="284">
        <f t="shared" si="15"/>
        <v>0.1767</v>
      </c>
      <c r="N32" s="291">
        <v>41</v>
      </c>
      <c r="O32" s="284">
        <f t="shared" si="16"/>
        <v>0.20039999999999999</v>
      </c>
      <c r="P32" s="284">
        <f t="shared" si="17"/>
        <v>0.13669999999999999</v>
      </c>
      <c r="R32" s="291">
        <v>2.62</v>
      </c>
      <c r="S32" s="284">
        <f t="shared" si="18"/>
        <v>1.2800000000000001E-2</v>
      </c>
      <c r="T32" s="284">
        <f t="shared" si="19"/>
        <v>8.6999999999999994E-3</v>
      </c>
    </row>
    <row r="33" spans="1:40" s="180" customFormat="1" ht="18.5" customHeight="1">
      <c r="A33" s="848"/>
      <c r="B33" s="270" t="s">
        <v>132</v>
      </c>
      <c r="C33" s="271"/>
      <c r="D33" s="299"/>
      <c r="F33" s="274" t="s">
        <v>132</v>
      </c>
      <c r="G33" s="277"/>
      <c r="H33" s="272"/>
      <c r="J33" s="274" t="s">
        <v>132</v>
      </c>
      <c r="K33" s="277"/>
      <c r="L33" s="272"/>
      <c r="N33" s="274" t="s">
        <v>132</v>
      </c>
      <c r="O33" s="277"/>
      <c r="P33" s="272"/>
      <c r="R33" s="274" t="s">
        <v>132</v>
      </c>
      <c r="S33" s="277"/>
      <c r="T33" s="272"/>
    </row>
    <row r="34" spans="1:40" s="180" customFormat="1" ht="26">
      <c r="A34" s="847"/>
      <c r="B34" s="335" t="s">
        <v>133</v>
      </c>
      <c r="C34" s="302">
        <v>2700</v>
      </c>
      <c r="D34" s="281">
        <f t="shared" ref="D34:D36" si="20">ROUND((C34*30)/44,2)</f>
        <v>1840.91</v>
      </c>
      <c r="F34" s="283">
        <v>197</v>
      </c>
      <c r="G34" s="284">
        <f t="shared" ref="G34:G36" si="21">ROUND(F34/$D34,4)</f>
        <v>0.107</v>
      </c>
      <c r="H34" s="284">
        <f t="shared" ref="H34:H36" si="22">ROUND(F34/$C34,4)</f>
        <v>7.2999999999999995E-2</v>
      </c>
      <c r="J34" s="283">
        <v>43</v>
      </c>
      <c r="K34" s="284">
        <f t="shared" ref="K34:K36" si="23">ROUND(J34/$D34,4)</f>
        <v>2.3400000000000001E-2</v>
      </c>
      <c r="L34" s="284">
        <f t="shared" ref="L34:L36" si="24">ROUND(J34/$C34,4)</f>
        <v>1.5900000000000001E-2</v>
      </c>
      <c r="N34" s="283">
        <v>81</v>
      </c>
      <c r="O34" s="284">
        <f t="shared" ref="O34:O36" si="25">ROUND(N34/$D34,4)</f>
        <v>4.3999999999999997E-2</v>
      </c>
      <c r="P34" s="284">
        <f t="shared" ref="P34:P36" si="26">ROUND(N34/$C34,4)</f>
        <v>0.03</v>
      </c>
      <c r="R34" s="291">
        <v>132</v>
      </c>
      <c r="S34" s="284">
        <f t="shared" ref="S34:S36" si="27">ROUND(R34/$D34,4)</f>
        <v>7.17E-2</v>
      </c>
      <c r="T34" s="284">
        <f t="shared" ref="T34:T36" si="28">ROUND(R34/$C34,4)</f>
        <v>4.8899999999999999E-2</v>
      </c>
    </row>
    <row r="35" spans="1:40" s="180" customFormat="1" ht="31" customHeight="1">
      <c r="A35" s="847"/>
      <c r="B35" s="304" t="s">
        <v>148</v>
      </c>
      <c r="C35" s="305">
        <v>2700</v>
      </c>
      <c r="D35" s="290">
        <f t="shared" si="20"/>
        <v>1840.91</v>
      </c>
      <c r="F35" s="291">
        <v>87</v>
      </c>
      <c r="G35" s="284">
        <f t="shared" si="21"/>
        <v>4.7300000000000002E-2</v>
      </c>
      <c r="H35" s="284">
        <f t="shared" si="22"/>
        <v>3.2199999999999999E-2</v>
      </c>
      <c r="J35" s="283">
        <v>30</v>
      </c>
      <c r="K35" s="284">
        <f t="shared" si="23"/>
        <v>1.6299999999999999E-2</v>
      </c>
      <c r="L35" s="284">
        <f t="shared" si="24"/>
        <v>1.11E-2</v>
      </c>
      <c r="N35" s="283">
        <v>5</v>
      </c>
      <c r="O35" s="284">
        <f t="shared" si="25"/>
        <v>2.7000000000000001E-3</v>
      </c>
      <c r="P35" s="284">
        <f t="shared" si="26"/>
        <v>1.9E-3</v>
      </c>
      <c r="R35" s="283">
        <v>14</v>
      </c>
      <c r="S35" s="284">
        <f t="shared" si="27"/>
        <v>7.6E-3</v>
      </c>
      <c r="T35" s="284">
        <f t="shared" si="28"/>
        <v>5.1999999999999998E-3</v>
      </c>
    </row>
    <row r="36" spans="1:40" s="180" customFormat="1" ht="31" customHeight="1">
      <c r="A36" s="847"/>
      <c r="B36" s="304" t="s">
        <v>135</v>
      </c>
      <c r="C36" s="305">
        <v>100000</v>
      </c>
      <c r="D36" s="290">
        <f t="shared" si="20"/>
        <v>68181.820000000007</v>
      </c>
      <c r="F36" s="291"/>
      <c r="G36" s="284">
        <f t="shared" si="21"/>
        <v>0</v>
      </c>
      <c r="H36" s="284">
        <f t="shared" si="22"/>
        <v>0</v>
      </c>
      <c r="J36" s="291"/>
      <c r="K36" s="284">
        <f t="shared" si="23"/>
        <v>0</v>
      </c>
      <c r="L36" s="284">
        <f t="shared" si="24"/>
        <v>0</v>
      </c>
      <c r="N36" s="291">
        <v>5</v>
      </c>
      <c r="O36" s="284">
        <f t="shared" si="25"/>
        <v>1E-4</v>
      </c>
      <c r="P36" s="284">
        <f t="shared" si="26"/>
        <v>1E-4</v>
      </c>
      <c r="R36" s="291"/>
      <c r="S36" s="284">
        <f t="shared" si="27"/>
        <v>0</v>
      </c>
      <c r="T36" s="284">
        <f t="shared" si="28"/>
        <v>0</v>
      </c>
    </row>
    <row r="37" spans="1:40" s="180" customFormat="1" ht="18" customHeight="1">
      <c r="A37" s="847"/>
      <c r="B37" s="336" t="s">
        <v>136</v>
      </c>
      <c r="C37" s="337"/>
      <c r="D37" s="338"/>
      <c r="F37" s="306" t="s">
        <v>136</v>
      </c>
      <c r="G37" s="277"/>
      <c r="H37" s="299"/>
      <c r="J37" s="306" t="s">
        <v>136</v>
      </c>
      <c r="K37" s="277"/>
      <c r="L37" s="299"/>
      <c r="N37" s="306" t="s">
        <v>136</v>
      </c>
      <c r="O37" s="277"/>
      <c r="P37" s="299"/>
      <c r="R37" s="306" t="s">
        <v>136</v>
      </c>
      <c r="S37" s="277"/>
      <c r="T37" s="299"/>
    </row>
    <row r="38" spans="1:40" s="180" customFormat="1" ht="29" customHeight="1">
      <c r="A38" s="847"/>
      <c r="B38" s="309" t="s">
        <v>316</v>
      </c>
      <c r="C38" s="305">
        <v>380</v>
      </c>
      <c r="D38" s="290">
        <f t="shared" ref="D38:D39" si="29">ROUND((C38*30)/44,2)</f>
        <v>259.08999999999997</v>
      </c>
      <c r="F38" s="291">
        <v>73</v>
      </c>
      <c r="G38" s="311">
        <f>ROUND((12/(128.7*$D38))*F38,5)</f>
        <v>2.63E-2</v>
      </c>
      <c r="H38" s="284">
        <f>ROUND((16/(188.76*$C38))*F38,5)</f>
        <v>1.6299999999999999E-2</v>
      </c>
      <c r="J38" s="291">
        <v>30</v>
      </c>
      <c r="K38" s="311">
        <f>ROUND((12/(128.7*$D38))*J38,5)</f>
        <v>1.0800000000000001E-2</v>
      </c>
      <c r="L38" s="284">
        <f>ROUND((16/(188.76*$C38))*J38,5)</f>
        <v>6.7000000000000002E-3</v>
      </c>
      <c r="N38" s="291"/>
      <c r="O38" s="311">
        <f>ROUND((12/(128.7*$D38))*N38,5)</f>
        <v>0</v>
      </c>
      <c r="P38" s="284">
        <f>ROUND((16/(188.76*$C38))*N38,5)</f>
        <v>0</v>
      </c>
      <c r="R38" s="291">
        <v>9</v>
      </c>
      <c r="S38" s="311">
        <f>ROUND((12/(128.7*$D38))*R38,5)</f>
        <v>3.2000000000000002E-3</v>
      </c>
      <c r="T38" s="284">
        <f>ROUND((16/(188.76*$C38))*R38,5)</f>
        <v>2E-3</v>
      </c>
    </row>
    <row r="39" spans="1:40" s="180" customFormat="1" ht="27.5" customHeight="1">
      <c r="A39" s="847"/>
      <c r="B39" s="312" t="s">
        <v>317</v>
      </c>
      <c r="C39" s="305">
        <v>380</v>
      </c>
      <c r="D39" s="290">
        <f t="shared" si="29"/>
        <v>259.08999999999997</v>
      </c>
      <c r="F39" s="283">
        <v>157</v>
      </c>
      <c r="G39" s="284">
        <f>ROUND((12/(128.7*$D39))*F39,5)</f>
        <v>5.6500000000000002E-2</v>
      </c>
      <c r="H39" s="313">
        <f>ROUND((16/(188.76*$C39))*F39,5)</f>
        <v>3.5000000000000003E-2</v>
      </c>
      <c r="J39" s="283">
        <v>90</v>
      </c>
      <c r="K39" s="284">
        <f>ROUND((12/(128.7*$D39))*J39,5)</f>
        <v>3.2399999999999998E-2</v>
      </c>
      <c r="L39" s="313">
        <f>ROUND((16/(188.76*$C39))*J39,5)</f>
        <v>2.01E-2</v>
      </c>
      <c r="N39" s="283">
        <v>100</v>
      </c>
      <c r="O39" s="284">
        <f>ROUND((12/(128.7*$D39))*N39,5)</f>
        <v>3.5999999999999997E-2</v>
      </c>
      <c r="P39" s="313">
        <f>ROUND((16/(188.76*$C39))*N39,5)</f>
        <v>2.23E-2</v>
      </c>
      <c r="R39" s="283">
        <v>41</v>
      </c>
      <c r="S39" s="284">
        <f>ROUND((12/(128.7*$D39))*R39,5)</f>
        <v>1.4800000000000001E-2</v>
      </c>
      <c r="T39" s="313">
        <f>ROUND((16/(188.76*$C39))*R39,5)</f>
        <v>9.1999999999999998E-3</v>
      </c>
    </row>
    <row r="40" spans="1:40" s="180" customFormat="1" ht="18" customHeight="1">
      <c r="A40" s="847"/>
      <c r="B40" s="855" t="s">
        <v>151</v>
      </c>
      <c r="C40" s="855"/>
      <c r="D40" s="855"/>
      <c r="F40" s="314"/>
      <c r="G40" s="315" t="s">
        <v>151</v>
      </c>
      <c r="H40" s="284">
        <f>SUM(H38:H39,H34:H36,H29:H32)</f>
        <v>1.3980999999999999</v>
      </c>
      <c r="J40" s="314"/>
      <c r="K40" s="315" t="s">
        <v>151</v>
      </c>
      <c r="L40" s="284">
        <f>SUM(L38:L39,L34:L36,L29:L32)</f>
        <v>0.87019999999999997</v>
      </c>
      <c r="N40" s="314"/>
      <c r="O40" s="315" t="s">
        <v>151</v>
      </c>
      <c r="P40" s="284">
        <f>SUM(P38:P39,P34:P36,P29:P32)</f>
        <v>0.85770000000000002</v>
      </c>
      <c r="R40" s="314"/>
      <c r="S40" s="315" t="s">
        <v>151</v>
      </c>
      <c r="T40" s="284">
        <f>SUM(T38:T39,T34:T36,T29:T32)</f>
        <v>0.51139999999999997</v>
      </c>
    </row>
    <row r="41" spans="1:40" s="180" customFormat="1" ht="18" customHeight="1">
      <c r="A41" s="847"/>
      <c r="B41" s="856" t="s">
        <v>149</v>
      </c>
      <c r="C41" s="856"/>
      <c r="D41" s="670"/>
      <c r="F41" s="671"/>
      <c r="G41" s="339">
        <f>SUM(G38:G39,G34:G36,G29:G32)</f>
        <v>2.06</v>
      </c>
      <c r="H41" s="669">
        <f>ROUND(H40,4)</f>
        <v>1.3980999999999999</v>
      </c>
      <c r="J41" s="671"/>
      <c r="K41" s="339">
        <f>SUM(K38:K39,K34:K36,K29:K32)</f>
        <v>1.28</v>
      </c>
      <c r="L41" s="669">
        <f>ROUND(L40,4)</f>
        <v>0.87019999999999997</v>
      </c>
      <c r="N41" s="671"/>
      <c r="O41" s="339">
        <f>SUM(O38:O39,O34:O36,O29:O32)</f>
        <v>1.26</v>
      </c>
      <c r="P41" s="669">
        <f>ROUND(P40,4)</f>
        <v>0.85770000000000002</v>
      </c>
      <c r="R41" s="671"/>
      <c r="S41" s="339">
        <f>SUM(S38:S39,S34:S36,S29:S32)</f>
        <v>0.75</v>
      </c>
      <c r="T41" s="669">
        <f>ROUND(T40,4)</f>
        <v>0.51139999999999997</v>
      </c>
    </row>
    <row r="42" spans="1:40" s="189" customFormat="1" ht="7" customHeight="1" thickBot="1">
      <c r="A42" s="322"/>
      <c r="B42" s="323"/>
      <c r="C42" s="323"/>
      <c r="D42" s="324"/>
      <c r="E42" s="325"/>
      <c r="F42" s="325"/>
      <c r="G42" s="326"/>
      <c r="H42" s="327"/>
      <c r="K42" s="326"/>
      <c r="L42" s="328"/>
      <c r="M42" s="181"/>
      <c r="O42" s="320"/>
      <c r="P42" s="321"/>
      <c r="S42" s="320"/>
      <c r="T42" s="321"/>
      <c r="W42" s="320"/>
      <c r="X42" s="321"/>
      <c r="AA42" s="320"/>
      <c r="AB42" s="321"/>
      <c r="AE42" s="320"/>
      <c r="AF42" s="321"/>
      <c r="AI42" s="320"/>
      <c r="AJ42" s="321"/>
      <c r="AM42" s="320"/>
      <c r="AN42" s="321"/>
    </row>
    <row r="43" spans="1:40" s="180" customFormat="1" ht="18.5" customHeight="1">
      <c r="B43" s="253"/>
      <c r="C43" s="875" t="s">
        <v>275</v>
      </c>
      <c r="D43" s="876"/>
      <c r="F43" s="872" t="s">
        <v>142</v>
      </c>
      <c r="G43" s="873"/>
      <c r="H43" s="874"/>
      <c r="M43" s="185"/>
    </row>
    <row r="44" spans="1:40" s="180" customFormat="1" ht="18" customHeight="1">
      <c r="A44" s="847" t="s">
        <v>142</v>
      </c>
      <c r="B44" s="849" t="s">
        <v>147</v>
      </c>
      <c r="C44" s="860" t="s">
        <v>486</v>
      </c>
      <c r="D44" s="880" t="s">
        <v>276</v>
      </c>
      <c r="F44" s="340"/>
      <c r="G44" s="256" t="s">
        <v>277</v>
      </c>
      <c r="H44" s="257" t="s">
        <v>278</v>
      </c>
      <c r="M44" s="185"/>
    </row>
    <row r="45" spans="1:40" s="180" customFormat="1" ht="58.5" customHeight="1">
      <c r="A45" s="847"/>
      <c r="B45" s="849"/>
      <c r="C45" s="860"/>
      <c r="D45" s="880"/>
      <c r="F45" s="267" t="s">
        <v>487</v>
      </c>
      <c r="G45" s="268" t="s">
        <v>279</v>
      </c>
      <c r="H45" s="267" t="s">
        <v>280</v>
      </c>
      <c r="M45" s="185"/>
    </row>
    <row r="46" spans="1:40" s="180" customFormat="1" ht="18.5" customHeight="1">
      <c r="A46" s="847"/>
      <c r="B46" s="884" t="s">
        <v>126</v>
      </c>
      <c r="C46" s="884"/>
      <c r="D46" s="884"/>
      <c r="F46" s="888" t="s">
        <v>126</v>
      </c>
      <c r="G46" s="889"/>
      <c r="H46" s="890"/>
      <c r="M46" s="185"/>
    </row>
    <row r="47" spans="1:40" s="180" customFormat="1" ht="18.5" customHeight="1">
      <c r="A47" s="847"/>
      <c r="B47" s="288" t="s">
        <v>127</v>
      </c>
      <c r="C47" s="289">
        <v>1200</v>
      </c>
      <c r="D47" s="290">
        <f t="shared" ref="D47:D50" si="30">ROUND((C47*30)/44,2)</f>
        <v>818.18</v>
      </c>
      <c r="F47" s="283">
        <v>1582.21</v>
      </c>
      <c r="G47" s="284">
        <f t="shared" ref="G47:G50" si="31">ROUND(F47/$D47,4)</f>
        <v>1.9338</v>
      </c>
      <c r="H47" s="284">
        <f t="shared" ref="H47:H50" si="32">ROUND(F47/$C47,4)</f>
        <v>1.3185</v>
      </c>
      <c r="M47" s="185"/>
    </row>
    <row r="48" spans="1:40" s="180" customFormat="1" ht="18.5" customHeight="1">
      <c r="A48" s="847"/>
      <c r="B48" s="288" t="s">
        <v>128</v>
      </c>
      <c r="C48" s="289">
        <v>2500</v>
      </c>
      <c r="D48" s="290">
        <f t="shared" si="30"/>
        <v>1704.55</v>
      </c>
      <c r="F48" s="283">
        <v>252.4</v>
      </c>
      <c r="G48" s="284">
        <f t="shared" si="31"/>
        <v>0.14810000000000001</v>
      </c>
      <c r="H48" s="284">
        <f t="shared" si="32"/>
        <v>0.10100000000000001</v>
      </c>
      <c r="M48" s="185"/>
    </row>
    <row r="49" spans="1:40" s="180" customFormat="1" ht="27.5" customHeight="1">
      <c r="A49" s="847"/>
      <c r="B49" s="288" t="s">
        <v>129</v>
      </c>
      <c r="C49" s="289">
        <v>1500</v>
      </c>
      <c r="D49" s="290">
        <f t="shared" si="30"/>
        <v>1022.73</v>
      </c>
      <c r="F49" s="283">
        <v>842.36</v>
      </c>
      <c r="G49" s="284">
        <f t="shared" si="31"/>
        <v>0.8236</v>
      </c>
      <c r="H49" s="284">
        <f t="shared" si="32"/>
        <v>0.56159999999999999</v>
      </c>
      <c r="M49" s="185"/>
    </row>
    <row r="50" spans="1:40" s="180" customFormat="1" ht="18" customHeight="1">
      <c r="A50" s="847"/>
      <c r="B50" s="341" t="s">
        <v>281</v>
      </c>
      <c r="C50" s="201">
        <v>300</v>
      </c>
      <c r="D50" s="290">
        <f t="shared" si="30"/>
        <v>204.55</v>
      </c>
      <c r="F50" s="283">
        <v>135.49</v>
      </c>
      <c r="G50" s="284">
        <f t="shared" si="31"/>
        <v>0.66239999999999999</v>
      </c>
      <c r="H50" s="284">
        <f t="shared" si="32"/>
        <v>0.4516</v>
      </c>
      <c r="M50" s="185"/>
    </row>
    <row r="51" spans="1:40" s="180" customFormat="1">
      <c r="A51" s="847"/>
      <c r="B51" s="884" t="s">
        <v>136</v>
      </c>
      <c r="C51" s="884"/>
      <c r="D51" s="884"/>
      <c r="F51" s="271"/>
      <c r="G51" s="277"/>
      <c r="H51" s="299"/>
      <c r="M51" s="185"/>
    </row>
    <row r="52" spans="1:40" s="180" customFormat="1" ht="29" customHeight="1">
      <c r="A52" s="847"/>
      <c r="B52" s="309" t="s">
        <v>316</v>
      </c>
      <c r="C52" s="305">
        <v>380</v>
      </c>
      <c r="D52" s="290">
        <f t="shared" ref="D52:D53" si="33">ROUND((C52*30)/44,2)</f>
        <v>259.08999999999997</v>
      </c>
      <c r="F52" s="291">
        <v>410.4</v>
      </c>
      <c r="G52" s="311">
        <f t="shared" ref="G52:G53" si="34">ROUND((12/(128.7*$D52))*F52,5)</f>
        <v>0.1477</v>
      </c>
      <c r="H52" s="284">
        <f>ROUND((16/(188.76*$C52))*F52,5)</f>
        <v>9.1499999999999998E-2</v>
      </c>
      <c r="M52" s="185"/>
    </row>
    <row r="53" spans="1:40" s="180" customFormat="1" ht="28.5" customHeight="1">
      <c r="A53" s="847"/>
      <c r="B53" s="312" t="s">
        <v>317</v>
      </c>
      <c r="C53" s="305">
        <v>380</v>
      </c>
      <c r="D53" s="290">
        <f t="shared" si="33"/>
        <v>259.08999999999997</v>
      </c>
      <c r="F53" s="283">
        <v>410.4</v>
      </c>
      <c r="G53" s="311">
        <f t="shared" si="34"/>
        <v>0.1477</v>
      </c>
      <c r="H53" s="313">
        <f>ROUND((16/(188.76*$C53))*F53,5)</f>
        <v>9.1499999999999998E-2</v>
      </c>
      <c r="M53" s="185"/>
    </row>
    <row r="54" spans="1:40" s="180" customFormat="1" ht="18.5" customHeight="1">
      <c r="A54" s="847"/>
      <c r="B54" s="855" t="s">
        <v>151</v>
      </c>
      <c r="C54" s="855"/>
      <c r="D54" s="855"/>
      <c r="F54" s="314"/>
      <c r="G54" s="315" t="s">
        <v>151</v>
      </c>
      <c r="H54" s="284">
        <f>SUM(H52:H53,H47:H50)</f>
        <v>2.6156999999999999</v>
      </c>
      <c r="M54" s="185"/>
    </row>
    <row r="55" spans="1:40" s="180" customFormat="1" ht="18.5" customHeight="1">
      <c r="A55" s="847"/>
      <c r="B55" s="856" t="s">
        <v>149</v>
      </c>
      <c r="C55" s="856"/>
      <c r="D55" s="670"/>
      <c r="F55" s="672"/>
      <c r="G55" s="339">
        <f>SUM(G52:G53,G47:G50)</f>
        <v>3.86</v>
      </c>
      <c r="H55" s="669">
        <f>ROUND(H54,4)</f>
        <v>2.6156999999999999</v>
      </c>
      <c r="M55" s="185"/>
    </row>
    <row r="56" spans="1:40" s="189" customFormat="1" ht="7" customHeight="1" thickBot="1">
      <c r="A56" s="322"/>
      <c r="B56" s="323"/>
      <c r="C56" s="323"/>
      <c r="D56" s="324"/>
      <c r="E56" s="325"/>
      <c r="F56" s="325"/>
      <c r="G56" s="326"/>
      <c r="H56" s="327"/>
      <c r="K56" s="326"/>
      <c r="L56" s="328"/>
      <c r="M56" s="181"/>
      <c r="O56" s="320"/>
      <c r="P56" s="321"/>
      <c r="S56" s="320"/>
      <c r="T56" s="321"/>
      <c r="W56" s="320"/>
      <c r="X56" s="321"/>
      <c r="AA56" s="320"/>
      <c r="AB56" s="321"/>
      <c r="AE56" s="320"/>
      <c r="AF56" s="321"/>
      <c r="AI56" s="320"/>
      <c r="AJ56" s="321"/>
      <c r="AM56" s="320"/>
      <c r="AN56" s="321"/>
    </row>
    <row r="57" spans="1:40" s="180" customFormat="1" ht="18.5" customHeight="1">
      <c r="B57" s="253"/>
      <c r="C57" s="875" t="s">
        <v>275</v>
      </c>
      <c r="D57" s="876"/>
      <c r="F57" s="885" t="s">
        <v>143</v>
      </c>
      <c r="G57" s="886"/>
      <c r="H57" s="887"/>
      <c r="M57" s="185"/>
    </row>
    <row r="58" spans="1:40" s="180" customFormat="1" ht="18.5" customHeight="1">
      <c r="A58" s="847" t="s">
        <v>143</v>
      </c>
      <c r="B58" s="849" t="s">
        <v>147</v>
      </c>
      <c r="C58" s="860" t="s">
        <v>486</v>
      </c>
      <c r="D58" s="880" t="s">
        <v>276</v>
      </c>
      <c r="F58" s="342"/>
      <c r="G58" s="256" t="s">
        <v>277</v>
      </c>
      <c r="H58" s="257" t="s">
        <v>278</v>
      </c>
      <c r="M58" s="185"/>
    </row>
    <row r="59" spans="1:40" s="180" customFormat="1" ht="58" customHeight="1">
      <c r="A59" s="847"/>
      <c r="B59" s="849"/>
      <c r="C59" s="860"/>
      <c r="D59" s="880"/>
      <c r="F59" s="343" t="s">
        <v>487</v>
      </c>
      <c r="G59" s="265" t="s">
        <v>279</v>
      </c>
      <c r="H59" s="264" t="s">
        <v>280</v>
      </c>
      <c r="M59" s="185"/>
    </row>
    <row r="60" spans="1:40" s="180" customFormat="1" ht="18.5" customHeight="1">
      <c r="A60" s="847"/>
      <c r="B60" s="884" t="s">
        <v>126</v>
      </c>
      <c r="C60" s="884"/>
      <c r="D60" s="884"/>
      <c r="F60" s="888" t="s">
        <v>126</v>
      </c>
      <c r="G60" s="889"/>
      <c r="H60" s="890"/>
      <c r="M60" s="185"/>
    </row>
    <row r="61" spans="1:40" s="180" customFormat="1" ht="18.5" customHeight="1">
      <c r="A61" s="847"/>
      <c r="B61" s="288" t="s">
        <v>127</v>
      </c>
      <c r="C61" s="289">
        <v>1200</v>
      </c>
      <c r="D61" s="290">
        <f t="shared" ref="D61:D64" si="35">ROUND((C61*30)/44,2)</f>
        <v>818.18</v>
      </c>
      <c r="F61" s="283">
        <v>10100.19</v>
      </c>
      <c r="G61" s="284">
        <f t="shared" ref="G61:G62" si="36">ROUND(F61/$D61,4)</f>
        <v>12.3447</v>
      </c>
      <c r="H61" s="284">
        <f t="shared" ref="H61:H62" si="37">ROUND(F61/$C61,4)</f>
        <v>8.4168000000000003</v>
      </c>
      <c r="M61" s="185"/>
    </row>
    <row r="62" spans="1:40" s="180" customFormat="1" ht="18.5" customHeight="1">
      <c r="A62" s="847"/>
      <c r="B62" s="341" t="s">
        <v>281</v>
      </c>
      <c r="C62" s="201">
        <v>300</v>
      </c>
      <c r="D62" s="290">
        <f t="shared" si="35"/>
        <v>204.55</v>
      </c>
      <c r="F62" s="283">
        <v>80.81</v>
      </c>
      <c r="G62" s="284">
        <f t="shared" si="36"/>
        <v>0.39510000000000001</v>
      </c>
      <c r="H62" s="284">
        <f t="shared" si="37"/>
        <v>0.26939999999999997</v>
      </c>
      <c r="M62" s="185"/>
    </row>
    <row r="63" spans="1:40" s="180" customFormat="1" ht="18.5" customHeight="1">
      <c r="A63" s="847"/>
      <c r="B63" s="884" t="s">
        <v>132</v>
      </c>
      <c r="C63" s="884"/>
      <c r="D63" s="884"/>
      <c r="E63" s="278"/>
      <c r="F63" s="270"/>
      <c r="G63" s="271"/>
      <c r="H63" s="272"/>
      <c r="L63" s="181"/>
    </row>
    <row r="64" spans="1:40" s="180" customFormat="1" ht="30" customHeight="1">
      <c r="A64" s="847"/>
      <c r="B64" s="344" t="s">
        <v>133</v>
      </c>
      <c r="C64" s="305">
        <v>2700</v>
      </c>
      <c r="D64" s="290">
        <f t="shared" si="35"/>
        <v>1840.91</v>
      </c>
      <c r="E64" s="345"/>
      <c r="F64" s="283">
        <v>2450</v>
      </c>
      <c r="G64" s="284">
        <f t="shared" ref="G64" si="38">ROUND(F64/$D64,4)</f>
        <v>1.3309</v>
      </c>
      <c r="H64" s="284">
        <f t="shared" ref="H64" si="39">ROUND(F64/$C64,4)</f>
        <v>0.90739999999999998</v>
      </c>
      <c r="L64" s="181"/>
    </row>
    <row r="65" spans="1:40" s="180" customFormat="1" ht="18.5" customHeight="1">
      <c r="A65" s="847"/>
      <c r="B65" s="884" t="s">
        <v>136</v>
      </c>
      <c r="C65" s="884"/>
      <c r="D65" s="884"/>
      <c r="F65" s="270"/>
      <c r="G65" s="271"/>
      <c r="H65" s="272"/>
      <c r="M65" s="185"/>
    </row>
    <row r="66" spans="1:40" s="180" customFormat="1" ht="28" customHeight="1">
      <c r="A66" s="847"/>
      <c r="B66" s="312" t="s">
        <v>317</v>
      </c>
      <c r="C66" s="305">
        <v>380</v>
      </c>
      <c r="D66" s="290">
        <f t="shared" ref="D66" si="40">ROUND((C66*30)/44,2)</f>
        <v>259.08999999999997</v>
      </c>
      <c r="F66" s="283">
        <v>993</v>
      </c>
      <c r="G66" s="311">
        <f t="shared" ref="G66" si="41">ROUND((12/(128.7*$D66))*F66,5)</f>
        <v>0.3574</v>
      </c>
      <c r="H66" s="313">
        <f>ROUND((16/(188.76*$C66))*F66,5)</f>
        <v>0.2215</v>
      </c>
      <c r="M66" s="185"/>
    </row>
    <row r="67" spans="1:40" s="180" customFormat="1" ht="18.5" customHeight="1">
      <c r="A67" s="847"/>
      <c r="B67" s="855" t="s">
        <v>151</v>
      </c>
      <c r="C67" s="855"/>
      <c r="D67" s="855"/>
      <c r="F67" s="314"/>
      <c r="G67" s="315" t="s">
        <v>151</v>
      </c>
      <c r="H67" s="284">
        <f>SUM(H61:H62,H64,H66)</f>
        <v>9.8150999999999993</v>
      </c>
      <c r="M67" s="185"/>
    </row>
    <row r="68" spans="1:40" s="180" customFormat="1" ht="18.5" customHeight="1">
      <c r="A68" s="847"/>
      <c r="B68" s="856" t="s">
        <v>149</v>
      </c>
      <c r="C68" s="856"/>
      <c r="D68" s="670"/>
      <c r="F68" s="672"/>
      <c r="G68" s="339">
        <f>SUM(G61:G62,G64,G66)</f>
        <v>14.43</v>
      </c>
      <c r="H68" s="669">
        <f>ROUND(H67,4)</f>
        <v>9.8150999999999993</v>
      </c>
      <c r="M68" s="185"/>
    </row>
    <row r="69" spans="1:40" s="189" customFormat="1" ht="7" customHeight="1">
      <c r="A69" s="322"/>
      <c r="B69" s="323"/>
      <c r="C69" s="323"/>
      <c r="D69" s="324"/>
      <c r="E69" s="325"/>
      <c r="F69" s="325"/>
      <c r="G69" s="326"/>
      <c r="H69" s="327"/>
      <c r="K69" s="326"/>
      <c r="L69" s="328"/>
      <c r="M69" s="181"/>
      <c r="O69" s="320"/>
      <c r="P69" s="321"/>
      <c r="S69" s="320"/>
      <c r="T69" s="321"/>
      <c r="W69" s="320"/>
      <c r="X69" s="321"/>
      <c r="AA69" s="320"/>
      <c r="AB69" s="321"/>
      <c r="AE69" s="320"/>
      <c r="AF69" s="321"/>
      <c r="AI69" s="320"/>
      <c r="AJ69" s="321"/>
      <c r="AM69" s="320"/>
      <c r="AN69" s="321"/>
    </row>
    <row r="70" spans="1:40" s="180" customFormat="1" ht="18.5" customHeight="1">
      <c r="B70" s="253"/>
      <c r="C70" s="837" t="s">
        <v>275</v>
      </c>
      <c r="D70" s="837"/>
      <c r="F70" s="893" t="s">
        <v>282</v>
      </c>
      <c r="G70" s="894"/>
      <c r="H70" s="895"/>
      <c r="M70" s="185"/>
    </row>
    <row r="71" spans="1:40" s="180" customFormat="1" ht="18" customHeight="1">
      <c r="A71" s="848" t="s">
        <v>144</v>
      </c>
      <c r="B71" s="849" t="s">
        <v>147</v>
      </c>
      <c r="C71" s="891" t="s">
        <v>486</v>
      </c>
      <c r="D71" s="880" t="s">
        <v>276</v>
      </c>
      <c r="F71" s="346"/>
      <c r="G71" s="256" t="s">
        <v>277</v>
      </c>
      <c r="H71" s="257" t="s">
        <v>278</v>
      </c>
      <c r="M71" s="185"/>
    </row>
    <row r="72" spans="1:40" s="180" customFormat="1" ht="57" customHeight="1">
      <c r="A72" s="848"/>
      <c r="B72" s="849"/>
      <c r="C72" s="891"/>
      <c r="D72" s="880"/>
      <c r="F72" s="267" t="s">
        <v>487</v>
      </c>
      <c r="G72" s="268" t="s">
        <v>279</v>
      </c>
      <c r="H72" s="267" t="s">
        <v>280</v>
      </c>
      <c r="M72" s="185"/>
    </row>
    <row r="73" spans="1:40" s="180" customFormat="1" ht="18.5" customHeight="1">
      <c r="A73" s="847"/>
      <c r="B73" s="896" t="s">
        <v>126</v>
      </c>
      <c r="C73" s="897"/>
      <c r="D73" s="897"/>
      <c r="F73" s="888" t="s">
        <v>126</v>
      </c>
      <c r="G73" s="889"/>
      <c r="H73" s="890"/>
      <c r="M73" s="185"/>
    </row>
    <row r="74" spans="1:40" s="180" customFormat="1" ht="18.5" customHeight="1">
      <c r="A74" s="847"/>
      <c r="B74" s="347" t="s">
        <v>127</v>
      </c>
      <c r="C74" s="348">
        <v>1200</v>
      </c>
      <c r="D74" s="290">
        <f t="shared" ref="D74:D76" si="42">ROUND((C74*30)/44,2)</f>
        <v>818.18</v>
      </c>
      <c r="F74" s="283">
        <v>225</v>
      </c>
      <c r="G74" s="284">
        <f t="shared" ref="G74:G76" si="43">ROUND(F74/$D74,4)</f>
        <v>0.27500000000000002</v>
      </c>
      <c r="H74" s="284">
        <f t="shared" ref="H74:H76" si="44">ROUND(F74/$C74,4)</f>
        <v>0.1875</v>
      </c>
      <c r="M74" s="185"/>
    </row>
    <row r="75" spans="1:40" s="180" customFormat="1" ht="18.5" customHeight="1">
      <c r="A75" s="847"/>
      <c r="B75" s="347" t="s">
        <v>128</v>
      </c>
      <c r="C75" s="348">
        <v>2500</v>
      </c>
      <c r="D75" s="290">
        <f t="shared" si="42"/>
        <v>1704.55</v>
      </c>
      <c r="F75" s="283">
        <v>1068</v>
      </c>
      <c r="G75" s="284">
        <f t="shared" si="43"/>
        <v>0.62660000000000005</v>
      </c>
      <c r="H75" s="284">
        <f t="shared" si="44"/>
        <v>0.42720000000000002</v>
      </c>
      <c r="M75" s="185"/>
    </row>
    <row r="76" spans="1:40" s="180" customFormat="1" ht="18.5" customHeight="1">
      <c r="A76" s="847"/>
      <c r="B76" s="312" t="s">
        <v>130</v>
      </c>
      <c r="C76" s="348">
        <v>300</v>
      </c>
      <c r="D76" s="290">
        <f t="shared" si="42"/>
        <v>204.55</v>
      </c>
      <c r="F76" s="283">
        <v>7.77</v>
      </c>
      <c r="G76" s="284">
        <f t="shared" si="43"/>
        <v>3.7999999999999999E-2</v>
      </c>
      <c r="H76" s="284">
        <f t="shared" si="44"/>
        <v>2.5899999999999999E-2</v>
      </c>
      <c r="M76" s="185"/>
    </row>
    <row r="77" spans="1:40" s="180" customFormat="1" ht="18.5" customHeight="1">
      <c r="A77" s="847"/>
      <c r="B77" s="897" t="s">
        <v>132</v>
      </c>
      <c r="C77" s="897"/>
      <c r="D77" s="349"/>
      <c r="F77" s="270" t="s">
        <v>132</v>
      </c>
      <c r="G77" s="271"/>
      <c r="H77" s="272"/>
      <c r="M77" s="185"/>
    </row>
    <row r="78" spans="1:40" s="180" customFormat="1" ht="26">
      <c r="A78" s="847"/>
      <c r="B78" s="309" t="s">
        <v>133</v>
      </c>
      <c r="C78" s="350">
        <v>2700</v>
      </c>
      <c r="D78" s="290">
        <f t="shared" ref="D78:D80" si="45">ROUND((C78*30)/44,2)</f>
        <v>1840.91</v>
      </c>
      <c r="F78" s="283">
        <v>273</v>
      </c>
      <c r="G78" s="284">
        <f t="shared" ref="G78:G80" si="46">ROUND(F78/$D78,4)</f>
        <v>0.14829999999999999</v>
      </c>
      <c r="H78" s="284">
        <f t="shared" ref="H78:H80" si="47">ROUND(F78/$C78,4)</f>
        <v>0.1011</v>
      </c>
      <c r="M78" s="185"/>
    </row>
    <row r="79" spans="1:40" s="180" customFormat="1" ht="18" customHeight="1">
      <c r="A79" s="847"/>
      <c r="B79" s="312" t="s">
        <v>134</v>
      </c>
      <c r="C79" s="350">
        <v>9000</v>
      </c>
      <c r="D79" s="290">
        <f t="shared" si="45"/>
        <v>6136.36</v>
      </c>
      <c r="F79" s="283">
        <v>532</v>
      </c>
      <c r="G79" s="284">
        <f t="shared" si="46"/>
        <v>8.6699999999999999E-2</v>
      </c>
      <c r="H79" s="284">
        <f t="shared" si="47"/>
        <v>5.91E-2</v>
      </c>
      <c r="M79" s="185"/>
    </row>
    <row r="80" spans="1:40" s="180" customFormat="1" ht="32" customHeight="1">
      <c r="A80" s="847"/>
      <c r="B80" s="312" t="s">
        <v>148</v>
      </c>
      <c r="C80" s="350">
        <v>2700</v>
      </c>
      <c r="D80" s="290">
        <f t="shared" si="45"/>
        <v>1840.91</v>
      </c>
      <c r="F80" s="283">
        <v>14</v>
      </c>
      <c r="G80" s="284">
        <f t="shared" si="46"/>
        <v>7.6E-3</v>
      </c>
      <c r="H80" s="284">
        <f t="shared" si="47"/>
        <v>5.1999999999999998E-3</v>
      </c>
      <c r="M80" s="185"/>
    </row>
    <row r="81" spans="1:40" s="180" customFormat="1" ht="18.5" customHeight="1">
      <c r="A81" s="847"/>
      <c r="B81" s="337" t="s">
        <v>136</v>
      </c>
      <c r="C81" s="271"/>
      <c r="D81" s="349"/>
      <c r="F81" s="336" t="s">
        <v>136</v>
      </c>
      <c r="G81" s="271"/>
      <c r="H81" s="272"/>
      <c r="M81" s="185"/>
    </row>
    <row r="82" spans="1:40" s="180" customFormat="1" ht="28.5" customHeight="1">
      <c r="A82" s="847"/>
      <c r="B82" s="309" t="s">
        <v>316</v>
      </c>
      <c r="C82" s="350">
        <v>380</v>
      </c>
      <c r="D82" s="290">
        <f t="shared" ref="D82:D83" si="48">ROUND((C82*30)/44,2)</f>
        <v>259.08999999999997</v>
      </c>
      <c r="F82" s="291">
        <v>84</v>
      </c>
      <c r="G82" s="311">
        <f t="shared" ref="G82:G83" si="49">ROUND((12/(128.7*$D82))*F82,5)</f>
        <v>3.0200000000000001E-2</v>
      </c>
      <c r="H82" s="284">
        <f t="shared" ref="H82:H83" si="50">ROUND((16/(188.76*$C82))*F82,5)</f>
        <v>1.8700000000000001E-2</v>
      </c>
      <c r="M82" s="185"/>
    </row>
    <row r="83" spans="1:40" s="180" customFormat="1" ht="28.5" customHeight="1">
      <c r="A83" s="847"/>
      <c r="B83" s="312" t="s">
        <v>317</v>
      </c>
      <c r="C83" s="350">
        <v>380</v>
      </c>
      <c r="D83" s="290">
        <f t="shared" si="48"/>
        <v>259.08999999999997</v>
      </c>
      <c r="F83" s="283">
        <v>84</v>
      </c>
      <c r="G83" s="311">
        <f t="shared" si="49"/>
        <v>3.0200000000000001E-2</v>
      </c>
      <c r="H83" s="284">
        <f t="shared" si="50"/>
        <v>1.8700000000000001E-2</v>
      </c>
      <c r="M83" s="185"/>
    </row>
    <row r="84" spans="1:40" s="180" customFormat="1" ht="18.5" customHeight="1">
      <c r="A84" s="847"/>
      <c r="B84" s="855" t="s">
        <v>151</v>
      </c>
      <c r="C84" s="855"/>
      <c r="D84" s="855"/>
      <c r="F84" s="314"/>
      <c r="G84" s="315" t="s">
        <v>151</v>
      </c>
      <c r="H84" s="284">
        <f>SUM(H74:H76,H78:H80,H82,H83)</f>
        <v>0.84340000000000004</v>
      </c>
      <c r="M84" s="185"/>
    </row>
    <row r="85" spans="1:40" s="180" customFormat="1" ht="18.5" customHeight="1">
      <c r="A85" s="847"/>
      <c r="B85" s="856" t="s">
        <v>149</v>
      </c>
      <c r="C85" s="856"/>
      <c r="D85" s="670"/>
      <c r="F85" s="672"/>
      <c r="G85" s="339">
        <f>SUM(G74:G76,G78:G80,G82:G83)</f>
        <v>1.24</v>
      </c>
      <c r="H85" s="669">
        <f>ROUND(H84,4)</f>
        <v>0.84340000000000004</v>
      </c>
      <c r="M85" s="185"/>
    </row>
    <row r="86" spans="1:40" s="189" customFormat="1" ht="7" customHeight="1">
      <c r="A86" s="322"/>
      <c r="B86" s="323"/>
      <c r="C86" s="323"/>
      <c r="D86" s="324"/>
      <c r="E86" s="325"/>
      <c r="F86" s="325"/>
      <c r="G86" s="326"/>
      <c r="H86" s="327"/>
      <c r="K86" s="326"/>
      <c r="L86" s="328"/>
      <c r="M86" s="181"/>
      <c r="O86" s="320"/>
      <c r="P86" s="321"/>
      <c r="S86" s="320"/>
      <c r="T86" s="321"/>
      <c r="W86" s="320"/>
      <c r="X86" s="321"/>
      <c r="AA86" s="320"/>
      <c r="AB86" s="321"/>
      <c r="AE86" s="320"/>
      <c r="AF86" s="321"/>
      <c r="AI86" s="320"/>
      <c r="AJ86" s="321"/>
      <c r="AM86" s="320"/>
      <c r="AN86" s="321"/>
    </row>
    <row r="87" spans="1:40" s="180" customFormat="1" ht="18.5" customHeight="1">
      <c r="B87" s="253"/>
      <c r="C87" s="899" t="s">
        <v>275</v>
      </c>
      <c r="D87" s="900"/>
      <c r="F87" s="903" t="s">
        <v>146</v>
      </c>
      <c r="G87" s="904"/>
      <c r="H87" s="905"/>
      <c r="M87" s="185"/>
    </row>
    <row r="88" spans="1:40" s="180" customFormat="1" ht="18.5" customHeight="1">
      <c r="A88" s="834" t="s">
        <v>146</v>
      </c>
      <c r="B88" s="901" t="s">
        <v>147</v>
      </c>
      <c r="C88" s="852" t="s">
        <v>486</v>
      </c>
      <c r="D88" s="854" t="s">
        <v>276</v>
      </c>
      <c r="F88" s="351"/>
      <c r="G88" s="256" t="s">
        <v>277</v>
      </c>
      <c r="H88" s="257" t="s">
        <v>278</v>
      </c>
      <c r="M88" s="185"/>
    </row>
    <row r="89" spans="1:40" s="180" customFormat="1" ht="59.5" customHeight="1">
      <c r="A89" s="835"/>
      <c r="B89" s="901"/>
      <c r="C89" s="851"/>
      <c r="D89" s="853"/>
      <c r="F89" s="267" t="s">
        <v>487</v>
      </c>
      <c r="G89" s="268" t="s">
        <v>279</v>
      </c>
      <c r="H89" s="267" t="s">
        <v>280</v>
      </c>
      <c r="M89" s="185"/>
    </row>
    <row r="90" spans="1:40" s="180" customFormat="1" ht="18.5" customHeight="1">
      <c r="A90" s="835"/>
      <c r="B90" s="902" t="s">
        <v>126</v>
      </c>
      <c r="C90" s="902"/>
      <c r="F90" s="888" t="s">
        <v>126</v>
      </c>
      <c r="G90" s="889"/>
      <c r="H90" s="890"/>
      <c r="M90" s="185"/>
    </row>
    <row r="91" spans="1:40" s="180" customFormat="1" ht="18.5" customHeight="1">
      <c r="A91" s="835"/>
      <c r="B91" s="347" t="s">
        <v>127</v>
      </c>
      <c r="C91" s="348">
        <v>1200</v>
      </c>
      <c r="D91" s="290">
        <f t="shared" ref="D91:D94" si="51">ROUND((C91*30)/44,2)</f>
        <v>818.18</v>
      </c>
      <c r="F91" s="283">
        <v>4937</v>
      </c>
      <c r="G91" s="284">
        <f t="shared" ref="G91:G94" si="52">ROUND(F91/$D91,4)</f>
        <v>6.0340999999999996</v>
      </c>
      <c r="H91" s="284">
        <f t="shared" ref="H91:H94" si="53">ROUND(F91/$C91,4)</f>
        <v>4.1142000000000003</v>
      </c>
      <c r="M91" s="185"/>
    </row>
    <row r="92" spans="1:40" s="180" customFormat="1" ht="18.5" customHeight="1">
      <c r="A92" s="835"/>
      <c r="B92" s="347" t="s">
        <v>128</v>
      </c>
      <c r="C92" s="348">
        <v>2500</v>
      </c>
      <c r="D92" s="290">
        <f t="shared" si="51"/>
        <v>1704.55</v>
      </c>
      <c r="F92" s="283">
        <v>145</v>
      </c>
      <c r="G92" s="284">
        <f t="shared" si="52"/>
        <v>8.5099999999999995E-2</v>
      </c>
      <c r="H92" s="284">
        <f t="shared" si="53"/>
        <v>5.8000000000000003E-2</v>
      </c>
      <c r="M92" s="185"/>
    </row>
    <row r="93" spans="1:40" s="180" customFormat="1" ht="29.5" customHeight="1">
      <c r="A93" s="835"/>
      <c r="B93" s="347" t="s">
        <v>129</v>
      </c>
      <c r="C93" s="348">
        <v>1500</v>
      </c>
      <c r="D93" s="290">
        <f t="shared" si="51"/>
        <v>1022.73</v>
      </c>
      <c r="F93" s="283">
        <v>317</v>
      </c>
      <c r="G93" s="284">
        <f t="shared" si="52"/>
        <v>0.31</v>
      </c>
      <c r="H93" s="284">
        <f t="shared" si="53"/>
        <v>0.21129999999999999</v>
      </c>
      <c r="M93" s="185"/>
    </row>
    <row r="94" spans="1:40" s="180" customFormat="1" ht="18.5" customHeight="1">
      <c r="A94" s="835"/>
      <c r="B94" s="312" t="s">
        <v>130</v>
      </c>
      <c r="C94" s="348">
        <v>300</v>
      </c>
      <c r="D94" s="290">
        <f t="shared" si="51"/>
        <v>204.55</v>
      </c>
      <c r="F94" s="283">
        <v>300</v>
      </c>
      <c r="G94" s="284">
        <f t="shared" si="52"/>
        <v>1.4665999999999999</v>
      </c>
      <c r="H94" s="284">
        <f t="shared" si="53"/>
        <v>1</v>
      </c>
      <c r="M94" s="185"/>
    </row>
    <row r="95" spans="1:40" s="180" customFormat="1" ht="18.5" customHeight="1">
      <c r="A95" s="835"/>
      <c r="B95" s="897" t="s">
        <v>132</v>
      </c>
      <c r="C95" s="897"/>
      <c r="D95" s="271"/>
      <c r="F95" s="270"/>
      <c r="G95" s="271"/>
      <c r="H95" s="272"/>
      <c r="M95" s="185"/>
    </row>
    <row r="96" spans="1:40" s="180" customFormat="1" ht="30.5" customHeight="1">
      <c r="A96" s="835"/>
      <c r="B96" s="309" t="s">
        <v>133</v>
      </c>
      <c r="C96" s="350">
        <v>2700</v>
      </c>
      <c r="D96" s="290">
        <f t="shared" ref="D96" si="54">ROUND((C96*30)/44,2)</f>
        <v>1840.91</v>
      </c>
      <c r="F96" s="283">
        <v>103</v>
      </c>
      <c r="G96" s="284">
        <f t="shared" ref="G96" si="55">ROUND(F96/$D96,4)</f>
        <v>5.6000000000000001E-2</v>
      </c>
      <c r="H96" s="284">
        <f t="shared" ref="H96" si="56">ROUND(F96/$C96,4)</f>
        <v>3.8100000000000002E-2</v>
      </c>
      <c r="M96" s="185"/>
    </row>
    <row r="97" spans="1:13" s="180" customFormat="1" ht="30.5" customHeight="1">
      <c r="A97" s="835"/>
      <c r="B97" s="271" t="s">
        <v>136</v>
      </c>
      <c r="C97" s="271"/>
      <c r="D97" s="271"/>
      <c r="F97" s="270"/>
      <c r="G97" s="271"/>
      <c r="H97" s="272"/>
      <c r="M97" s="185"/>
    </row>
    <row r="98" spans="1:13" s="180" customFormat="1" ht="29.5" customHeight="1">
      <c r="A98" s="835"/>
      <c r="B98" s="312" t="s">
        <v>317</v>
      </c>
      <c r="C98" s="350">
        <v>380</v>
      </c>
      <c r="D98" s="290">
        <f t="shared" ref="D98" si="57">ROUND((C98*30)/44,2)</f>
        <v>259.08999999999997</v>
      </c>
      <c r="F98" s="283">
        <v>577</v>
      </c>
      <c r="G98" s="311">
        <f t="shared" ref="G98" si="58">ROUND((12/(128.7*$D98))*F98,5)</f>
        <v>0.2077</v>
      </c>
      <c r="H98" s="284">
        <f t="shared" ref="H98" si="59">ROUND((16/(188.76*$C98))*F98,5)</f>
        <v>0.12870000000000001</v>
      </c>
      <c r="M98" s="185"/>
    </row>
    <row r="99" spans="1:13" s="180" customFormat="1" ht="18.5" customHeight="1">
      <c r="A99" s="835"/>
      <c r="B99" s="898" t="s">
        <v>151</v>
      </c>
      <c r="C99" s="855"/>
      <c r="D99" s="855"/>
      <c r="F99" s="314"/>
      <c r="G99" s="315" t="s">
        <v>151</v>
      </c>
      <c r="H99" s="284">
        <f>SUM(H91:H94,H96,H98)</f>
        <v>5.5503</v>
      </c>
      <c r="M99" s="185"/>
    </row>
    <row r="100" spans="1:13" s="180" customFormat="1" ht="18.5" customHeight="1">
      <c r="A100" s="836"/>
      <c r="B100" s="892" t="s">
        <v>149</v>
      </c>
      <c r="C100" s="856"/>
      <c r="D100" s="670"/>
      <c r="F100" s="672"/>
      <c r="G100" s="339">
        <f>SUM(G91:G94,G96,G98)</f>
        <v>8.16</v>
      </c>
      <c r="H100" s="669">
        <f>ROUND(H99,4)</f>
        <v>5.5503</v>
      </c>
      <c r="J100" s="200"/>
      <c r="M100" s="185"/>
    </row>
  </sheetData>
  <mergeCells count="77">
    <mergeCell ref="B100:C100"/>
    <mergeCell ref="F70:H70"/>
    <mergeCell ref="F73:H73"/>
    <mergeCell ref="F90:H90"/>
    <mergeCell ref="B73:D73"/>
    <mergeCell ref="B84:D84"/>
    <mergeCell ref="B99:D99"/>
    <mergeCell ref="C87:D87"/>
    <mergeCell ref="B88:B89"/>
    <mergeCell ref="C88:C89"/>
    <mergeCell ref="D88:D89"/>
    <mergeCell ref="B90:C90"/>
    <mergeCell ref="B95:C95"/>
    <mergeCell ref="B77:C77"/>
    <mergeCell ref="B85:C85"/>
    <mergeCell ref="F87:H87"/>
    <mergeCell ref="F57:H57"/>
    <mergeCell ref="F46:H46"/>
    <mergeCell ref="F60:H60"/>
    <mergeCell ref="C70:D70"/>
    <mergeCell ref="B71:B72"/>
    <mergeCell ref="C71:C72"/>
    <mergeCell ref="D71:D72"/>
    <mergeCell ref="B63:D63"/>
    <mergeCell ref="B60:D60"/>
    <mergeCell ref="B65:D65"/>
    <mergeCell ref="B67:D67"/>
    <mergeCell ref="B68:C68"/>
    <mergeCell ref="D44:D45"/>
    <mergeCell ref="B46:D46"/>
    <mergeCell ref="A71:A85"/>
    <mergeCell ref="A58:A68"/>
    <mergeCell ref="B51:D51"/>
    <mergeCell ref="B54:D54"/>
    <mergeCell ref="B55:C55"/>
    <mergeCell ref="C57:D57"/>
    <mergeCell ref="B58:B59"/>
    <mergeCell ref="C58:C59"/>
    <mergeCell ref="D58:D59"/>
    <mergeCell ref="R25:T25"/>
    <mergeCell ref="F43:H43"/>
    <mergeCell ref="C43:D43"/>
    <mergeCell ref="B40:D40"/>
    <mergeCell ref="B41:C41"/>
    <mergeCell ref="F25:H25"/>
    <mergeCell ref="C25:D25"/>
    <mergeCell ref="B26:B27"/>
    <mergeCell ref="C26:C27"/>
    <mergeCell ref="D26:D27"/>
    <mergeCell ref="J25:L25"/>
    <mergeCell ref="V8:X8"/>
    <mergeCell ref="Z8:AB8"/>
    <mergeCell ref="AD8:AF8"/>
    <mergeCell ref="AH8:AJ8"/>
    <mergeCell ref="AL8:AN8"/>
    <mergeCell ref="R8:T8"/>
    <mergeCell ref="A1:T1"/>
    <mergeCell ref="A2:T2"/>
    <mergeCell ref="A4:K4"/>
    <mergeCell ref="L4:T4"/>
    <mergeCell ref="A6:T6"/>
    <mergeCell ref="A88:A100"/>
    <mergeCell ref="C8:D8"/>
    <mergeCell ref="F8:H8"/>
    <mergeCell ref="J8:L8"/>
    <mergeCell ref="N8:P8"/>
    <mergeCell ref="A9:A23"/>
    <mergeCell ref="B9:B10"/>
    <mergeCell ref="C9:C10"/>
    <mergeCell ref="D9:D10"/>
    <mergeCell ref="B22:D22"/>
    <mergeCell ref="B23:C23"/>
    <mergeCell ref="N25:P25"/>
    <mergeCell ref="A26:A41"/>
    <mergeCell ref="A44:A55"/>
    <mergeCell ref="B44:B45"/>
    <mergeCell ref="C44:C45"/>
  </mergeCells>
  <pageMargins left="0.51181102362204722" right="0.51181102362204722" top="0.39370078740157483" bottom="0.78740157480314965" header="0.31496062992125984" footer="0.31496062992125984"/>
  <pageSetup paperSize="9" scale="2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 Basal Comparada</vt:lpstr>
      <vt:lpstr>Área - Produt - Servente</vt:lpstr>
      <vt:lpstr>Servente COM Adicional</vt:lpstr>
      <vt:lpstr>Servente SEM Adicional</vt:lpstr>
      <vt:lpstr>Limpador Vidro COM Risco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Leslie Soares Pereira</cp:lastModifiedBy>
  <cp:lastPrinted>2025-06-18T18:53:14Z</cp:lastPrinted>
  <dcterms:created xsi:type="dcterms:W3CDTF">2024-10-01T13:40:53Z</dcterms:created>
  <dcterms:modified xsi:type="dcterms:W3CDTF">2025-09-11T17:43:36Z</dcterms:modified>
</cp:coreProperties>
</file>